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'укр'!$A$5:$M$102</definedName>
    <definedName name="Z_04ACB588_E2F7_4C72_90EE_C1D7F57E0343_.wvu.FilterData" localSheetId="1" hidden="1">'рус'!$A$3:$M$93</definedName>
    <definedName name="Z_04ACB588_E2F7_4C72_90EE_C1D7F57E0343_.wvu.FilterData" localSheetId="0" hidden="1">'укр'!$A$5:$M$102</definedName>
    <definedName name="Z_0AB4131A_8BED_4BFC_A370_C1BC1C9D4C7C_.wvu.FilterData" localSheetId="1" hidden="1">'рус'!$A$3:$M$93</definedName>
    <definedName name="Z_0AB4131A_8BED_4BFC_A370_C1BC1C9D4C7C_.wvu.FilterData" localSheetId="0" hidden="1">'укр'!$A$5:$M$93</definedName>
    <definedName name="Z_1046EEE3_1562_4020_8D2B_824F51BD9219_.wvu.FilterData" localSheetId="1" hidden="1">'рус'!$A$3:$M$93</definedName>
    <definedName name="Z_1054A86F_0A27_49A1_9D7E_76FC64889737_.wvu.FilterData" localSheetId="0" hidden="1">'укр'!$A$5:$M$93</definedName>
    <definedName name="Z_1118C1DB_0416_47C1_A822_3E69CF54CCB3_.wvu.FilterData" localSheetId="0" hidden="1">'укр'!$A$5:$M$93</definedName>
    <definedName name="Z_1C966999_B4C5_43B7_926D_365C642CB6F1_.wvu.FilterData" localSheetId="0" hidden="1">'укр'!$A$5:$M$102</definedName>
    <definedName name="Z_231C1CD9_D5BC_43F0_874C_628A321B7F6D_.wvu.FilterData" localSheetId="1" hidden="1">'рус'!$A$3:$M$93</definedName>
    <definedName name="Z_231C1CD9_D5BC_43F0_874C_628A321B7F6D_.wvu.FilterData" localSheetId="0" hidden="1">'укр'!$A$5:$M$102</definedName>
    <definedName name="Z_24240EEA_952B_4B02_AFBB_C5493EA03E7A_.wvu.FilterData" localSheetId="0" hidden="1">'укр'!$A$5:$M$102</definedName>
    <definedName name="Z_27F388CE_0524_43E5_9E25_7EEC8B6CD1B4_.wvu.FilterData" localSheetId="0" hidden="1">'укр'!$A$5:$M$93</definedName>
    <definedName name="Z_3A145DEE_F66F_4ADC_8CE5_38BF43BF697E_.wvu.FilterData" localSheetId="0" hidden="1">'укр'!$A$5:$M$102</definedName>
    <definedName name="Z_3ABA87E8_DFA0_45BE_BA5D_FCDF1374FB92_.wvu.FilterData" localSheetId="0" hidden="1">'укр'!$A$5:$M$102</definedName>
    <definedName name="Z_3DE70603_A759_4A69_B4A6_A5BF364011E4_.wvu.FilterData" localSheetId="0" hidden="1">'укр'!$A$5:$M$93</definedName>
    <definedName name="Z_4260F083_649D_4241_ADC9_F602D674C2A9_.wvu.FilterData" localSheetId="0" hidden="1">'укр'!$A$5:$M$102</definedName>
    <definedName name="Z_49628C96_C195_416C_8FF0_14DD43C23211_.wvu.FilterData" localSheetId="1" hidden="1">'рус'!$A$3:$M$93</definedName>
    <definedName name="Z_49628C96_C195_416C_8FF0_14DD43C23211_.wvu.FilterData" localSheetId="0" hidden="1">'укр'!$A$5:$M$102</definedName>
    <definedName name="Z_4CD494E0_A5E8_4389_B231_32C134BAAFE3_.wvu.FilterData" localSheetId="1" hidden="1">'рус'!$A$3:$M$93</definedName>
    <definedName name="Z_4CD494E0_A5E8_4389_B231_32C134BAAFE3_.wvu.FilterData" localSheetId="0" hidden="1">'укр'!$A$5:$M$93</definedName>
    <definedName name="Z_4F73FC08_4ACE_4F60_8CCD_8CB6CCF71C74_.wvu.FilterData" localSheetId="0" hidden="1">'укр'!$A$5:$M$93</definedName>
    <definedName name="Z_58053810_807D_4B5B_A58D_D2B31B4E7C2D_.wvu.FilterData" localSheetId="0" hidden="1">'укр'!$A$5:$M$102</definedName>
    <definedName name="Z_5BF60E64_9CFF_4192_B734_77E73C07738E_.wvu.FilterData" localSheetId="0" hidden="1">'укр'!$A$5:$M$93</definedName>
    <definedName name="Z_617CC03B_61AA_4EAA_90A8_4FFD22DB74E3_.wvu.FilterData" localSheetId="0" hidden="1">'укр'!$A$5:$M$93</definedName>
    <definedName name="Z_6631C4E3_E3DE_4FDA_8360_88DA555E1CDC_.wvu.FilterData" localSheetId="1" hidden="1">'рус'!$A$3:$M$93</definedName>
    <definedName name="Z_6631C4E3_E3DE_4FDA_8360_88DA555E1CDC_.wvu.FilterData" localSheetId="0" hidden="1">'укр'!$A$5:$M$102</definedName>
    <definedName name="Z_672E82EF_B617_4568_88A0_B0D5C24A9181_.wvu.FilterData" localSheetId="0" hidden="1">'укр'!$A$5:$M$93</definedName>
    <definedName name="Z_6D745CBB_D96C_4096_B121_CE1FF649F302_.wvu.FilterData" localSheetId="0" hidden="1">'укр'!$A$5:$M$102</definedName>
    <definedName name="Z_72A9030B_9E1B_4FF0_81DC_13BA92CF6228_.wvu.FilterData" localSheetId="0" hidden="1">'укр'!$A$5:$M$102</definedName>
    <definedName name="Z_77FC4776_5A4A_492C_991A_5A42D696A663_.wvu.FilterData" localSheetId="0" hidden="1">'укр'!$A$5:$M$102</definedName>
    <definedName name="Z_79E0FD67_78FE_4620_A1A7_B5C455565654_.wvu.FilterData" localSheetId="0" hidden="1">'укр'!$A$5:$M$93</definedName>
    <definedName name="Z_83D0CCFC_E5EE_4571_B75B_A5A7C3C26172_.wvu.FilterData" localSheetId="1" hidden="1">'рус'!$A$3:$M$93</definedName>
    <definedName name="Z_8857BE6F_1159_4631_824E_129574F12620_.wvu.FilterData" localSheetId="0" hidden="1">'укр'!$A$5:$M$102</definedName>
    <definedName name="Z_88C6652C_1959_4D9F_BDAD_4D2FA65820E4_.wvu.FilterData" localSheetId="0" hidden="1">'укр'!$A$5:$M$93</definedName>
    <definedName name="Z_8EE5D67B_4CA5_40A5_A922_CD0FEE1CC0D1_.wvu.FilterData" localSheetId="0" hidden="1">'укр'!$A$5:$M$93</definedName>
    <definedName name="Z_90917448_AD5B_422F_9507_AB4840BF6488_.wvu.FilterData" localSheetId="1" hidden="1">'рус'!$A$3:$M$93</definedName>
    <definedName name="Z_90917448_AD5B_422F_9507_AB4840BF6488_.wvu.FilterData" localSheetId="0" hidden="1">'укр'!$A$5:$M$102</definedName>
    <definedName name="Z_91223233_8503_4F10_8187_1BA1B180DF36_.wvu.FilterData" localSheetId="1" hidden="1">'рус'!$A$3:$M$93</definedName>
    <definedName name="Z_91223233_8503_4F10_8187_1BA1B180DF36_.wvu.FilterData" localSheetId="0" hidden="1">'укр'!$A$5:$M$102</definedName>
    <definedName name="Z_94E5261F_BBF3_44CC_BB96_6EE4FAC48D5E_.wvu.FilterData" localSheetId="1" hidden="1">'рус'!$A$3:$M$93</definedName>
    <definedName name="Z_94E5261F_BBF3_44CC_BB96_6EE4FAC48D5E_.wvu.FilterData" localSheetId="0" hidden="1">'укр'!$A$5:$M$102</definedName>
    <definedName name="Z_9E428FD8_4A7F_4695_B619_6CD4A85A7CD9_.wvu.FilterData" localSheetId="0" hidden="1">'укр'!$A$5:$M$93</definedName>
    <definedName name="Z_B005A4D0_4D83_4519_8DC2_94F47F9339DB_.wvu.FilterData" localSheetId="0" hidden="1">'укр'!$A$5:$M$102</definedName>
    <definedName name="Z_B6AA2B40_3CC2_41A0_9585_B2CF71A6FBEA_.wvu.FilterData" localSheetId="0" hidden="1">'укр'!$A$5:$M$93</definedName>
    <definedName name="Z_BD696675_756F_4C65_9FBC_AF64F1E4ED1A_.wvu.FilterData" localSheetId="0" hidden="1">'укр'!$A$5:$M$102</definedName>
    <definedName name="Z_BF88407D_B535_4517_A33E_4B66B4BE59F2_.wvu.FilterData" localSheetId="0" hidden="1">'укр'!$A$5:$M$93</definedName>
    <definedName name="Z_C412732E_09B2_4FD4_A85C_B91F17699E15_.wvu.FilterData" localSheetId="0" hidden="1">'укр'!$A$5:$M$93</definedName>
    <definedName name="Z_CCB6C31A_E2C2_467C_B0EF_22068EE5B7E6_.wvu.FilterData" localSheetId="0" hidden="1">'укр'!$A$5:$M$102</definedName>
    <definedName name="Z_D104884C_FD01_40AC_AF92_9F7466C1E6B1_.wvu.FilterData" localSheetId="1" hidden="1">'рус'!$A$3:$M$93</definedName>
    <definedName name="Z_D104884C_FD01_40AC_AF92_9F7466C1E6B1_.wvu.FilterData" localSheetId="0" hidden="1">'укр'!$A$5:$M$102</definedName>
    <definedName name="Z_D266BC48_5515_4A75_9DB6_3A407AEB8B33_.wvu.FilterData" localSheetId="0" hidden="1">'укр'!$A$5:$M$93</definedName>
    <definedName name="Z_D456CF22_C4A3_47CC_9796_39031F9CB851_.wvu.FilterData" localSheetId="1" hidden="1">'рус'!$A$3:$M$93</definedName>
    <definedName name="Z_D456CF22_C4A3_47CC_9796_39031F9CB851_.wvu.FilterData" localSheetId="0" hidden="1">'укр'!$A$5:$M$102</definedName>
    <definedName name="Z_DD69DD97_1E5C_4687_BB7A_6E54A3A2851D_.wvu.FilterData" localSheetId="0" hidden="1">'укр'!$A$5:$M$93</definedName>
    <definedName name="Z_E9CFA120_5FC1_4ACD_A9F4_51CC159105FA_.wvu.FilterData" localSheetId="0" hidden="1">'укр'!$A$5:$M$102</definedName>
    <definedName name="Z_EDF91F7F_6349_440C_99E3_AA497F3CC267_.wvu.FilterData" localSheetId="1" hidden="1">'рус'!$A$3:$M$93</definedName>
    <definedName name="Z_EDF91F7F_6349_440C_99E3_AA497F3CC267_.wvu.FilterData" localSheetId="0" hidden="1">'укр'!$A$5:$M$102</definedName>
    <definedName name="Z_F0F0F2F2_6B0B_46F3_97EF_06EC5C7DBFC2_.wvu.FilterData" localSheetId="0" hidden="1">'укр'!$A$5:$M$102</definedName>
    <definedName name="Z_F91456B9_4E53_4C5A_B738_AE85B41E256C_.wvu.FilterData" localSheetId="0" hidden="1">'укр'!$A$5:$M$93</definedName>
    <definedName name="Z_F9194F6B_BA54_43F5_8AA8_2451A733CA6A_.wvu.FilterData" localSheetId="1" hidden="1">'рус'!$A$3:$M$93</definedName>
    <definedName name="Z_F9194F6B_BA54_43F5_8AA8_2451A733CA6A_.wvu.FilterData" localSheetId="0" hidden="1">'укр'!$A$5:$M$102</definedName>
  </definedNames>
  <calcPr fullCalcOnLoad="1"/>
</workbook>
</file>

<file path=xl/sharedStrings.xml><?xml version="1.0" encoding="utf-8"?>
<sst xmlns="http://schemas.openxmlformats.org/spreadsheetml/2006/main" count="190" uniqueCount="77">
  <si>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</si>
  <si>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</si>
  <si>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</si>
  <si>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</si>
  <si>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</si>
  <si>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</si>
  <si>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</si>
  <si>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</si>
  <si>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</si>
  <si>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</si>
  <si>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</si>
  <si>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</si>
  <si>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</si>
  <si>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</si>
  <si>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</si>
  <si>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річних показників, %</t>
  </si>
  <si>
    <t>Відсоток фінансування до плану звітного періоду, %</t>
  </si>
  <si>
    <t>Затверджено на рік з урахуванням змін, тис. грн.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</si>
  <si>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</si>
  <si>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</si>
  <si>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</si>
  <si>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</si>
  <si>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</si>
  <si>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</si>
  <si>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</si>
  <si>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</si>
  <si>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</si>
  <si>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</si>
  <si>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</si>
  <si>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</si>
  <si>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</si>
  <si>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</si>
  <si>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</si>
  <si>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</si>
  <si>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</si>
  <si>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</si>
  <si>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</si>
  <si>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</si>
  <si>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</si>
  <si>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</si>
  <si>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</si>
  <si>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</si>
  <si>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</si>
  <si>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</si>
  <si>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</si>
  <si>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</si>
  <si>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</si>
  <si>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</si>
  <si>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</si>
  <si>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</si>
  <si>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</si>
  <si>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</si>
  <si>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</si>
  <si>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</si>
  <si>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</si>
  <si>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</si>
  <si>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</si>
  <si>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</si>
  <si>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</si>
  <si>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</si>
  <si>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</si>
  <si>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</si>
  <si>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</si>
  <si>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</si>
  <si>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</si>
  <si>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</si>
  <si>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</si>
  <si>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</si>
  <si>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із них субвенція держбюджету</t>
  </si>
  <si>
    <t>из них субвенция госбюджета</t>
  </si>
  <si>
    <t>- на выплату помощи семьям с детьми</t>
  </si>
  <si>
    <t>Еженедельная информация об использовании средств городского бюджета города Николаева в 2015 году (без расходов, осуществляемых за счет собственных поступлений бюджетных учреждений)</t>
  </si>
  <si>
    <t>Щотижнева інформація про використання коштів міського бюджету міста Миколаєва у 2015 році (без видатків, що здійснюються за рахунок власних надходжень бюджетних установ)</t>
  </si>
  <si>
    <t xml:space="preserve">План на январь-октябрь с учетом изменений, тыс. грн. </t>
  </si>
  <si>
    <t>План на січень-листопад з урахуванням змін, тис. грн.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</si>
  <si>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27 листопада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</si>
  <si>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27 ноября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</si>
</sst>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20" fillId="0" borderId="0" xfId="0" applyFont="1" applyFill="1" applyAlignment="1">
      <alignment wrapText="1"/>
    </xf>
    <xf numFmtId="0" fontId="21" fillId="0" borderId="10" xfId="0" applyFont="1" applyFill="1" applyBorder="1" applyAlignment="1">
      <alignment vertical="top" wrapText="1"/>
    </xf>
    <xf numFmtId="49" fontId="21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/>
    </xf>
    <xf numFmtId="164" fontId="19" fillId="0" borderId="0" xfId="0" applyNumberFormat="1" applyFont="1" applyFill="1" applyAlignment="1">
      <alignment horizontal="right" vertical="center" wrapText="1"/>
    </xf>
    <xf numFmtId="4" fontId="19" fillId="0" borderId="0" xfId="0" applyNumberFormat="1" applyFont="1" applyFill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22" fillId="0" borderId="10" xfId="0" applyFont="1" applyFill="1" applyBorder="1" applyAlignment="1">
      <alignment vertical="top" wrapText="1"/>
    </xf>
    <xf numFmtId="164" fontId="20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164" fontId="15" fillId="0" borderId="11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15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8" fillId="0" borderId="0" xfId="0" applyNumberFormat="1" applyFont="1" applyFill="1" applyAlignment="1">
      <alignment wrapText="1"/>
    </xf>
    <xf numFmtId="164" fontId="28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164" fontId="7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wrapText="1"/>
    </xf>
    <xf numFmtId="166" fontId="2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29" fillId="0" borderId="0" xfId="0" applyNumberFormat="1" applyFont="1" applyFill="1" applyAlignment="1">
      <alignment wrapText="1"/>
    </xf>
    <xf numFmtId="164" fontId="5" fillId="0" borderId="0" xfId="0" applyNumberFormat="1" applyFont="1" applyFill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tabSelected="1" zoomScalePageLayoutView="0" workbookViewId="0" topLeftCell="A1">
      <pane xSplit="1" ySplit="4" topLeftCell="B7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0" sqref="C80"/>
    </sheetView>
  </sheetViews>
  <sheetFormatPr defaultColWidth="9.140625" defaultRowHeight="15"/>
  <cols>
    <col min="1" max="1" width="36.140625" style="57" customWidth="1"/>
    <col min="2" max="3" width="17.28125" style="57" customWidth="1"/>
    <col min="4" max="4" width="15.8515625" style="57" customWidth="1"/>
    <col min="5" max="5" width="14.7109375" style="57" customWidth="1"/>
    <col min="6" max="6" width="15.140625" style="57" customWidth="1"/>
    <col min="7" max="10" width="9.140625" style="57" customWidth="1"/>
    <col min="11" max="16384" width="9.140625" style="8" customWidth="1"/>
  </cols>
  <sheetData>
    <row r="1" spans="1:10" s="1" customFormat="1" ht="32.25" customHeight="1">
      <c r="A1" s="75" t="s">
        <v>72</v>
      </c>
      <c r="B1" s="75"/>
      <c r="C1" s="75"/>
      <c r="D1" s="75"/>
      <c r="E1" s="75"/>
      <c r="F1" s="75"/>
      <c r="G1" s="62"/>
      <c r="H1" s="62"/>
      <c r="I1" s="62"/>
      <c r="J1" s="62"/>
    </row>
    <row r="2" spans="1:10" s="1" customFormat="1" ht="12.75" customHeight="1">
      <c r="A2" s="13"/>
      <c r="B2" s="13"/>
      <c r="C2" s="13"/>
      <c r="D2" s="13"/>
      <c r="E2" s="13"/>
      <c r="F2" s="14"/>
      <c r="G2" s="62"/>
      <c r="H2" s="62"/>
      <c r="I2" s="62"/>
      <c r="J2" s="62"/>
    </row>
    <row r="3" spans="1:10" s="1" customFormat="1" ht="31.5" customHeight="1">
      <c r="A3" s="74"/>
      <c r="B3" s="74" t="s">
        <v>17</v>
      </c>
      <c r="C3" s="74" t="s">
        <v>74</v>
      </c>
      <c r="D3" s="76" t="s">
        <v>75</v>
      </c>
      <c r="E3" s="74" t="s">
        <v>15</v>
      </c>
      <c r="F3" s="74" t="s">
        <v>16</v>
      </c>
      <c r="G3" s="62"/>
      <c r="H3" s="62"/>
      <c r="I3" s="62"/>
      <c r="J3" s="62"/>
    </row>
    <row r="4" spans="1:10" s="1" customFormat="1" ht="33" customHeight="1">
      <c r="A4" s="74"/>
      <c r="B4" s="74"/>
      <c r="C4" s="74"/>
      <c r="D4" s="76"/>
      <c r="E4" s="74"/>
      <c r="F4" s="74"/>
      <c r="G4" s="62"/>
      <c r="H4" s="62"/>
      <c r="I4" s="62"/>
      <c r="J4" s="62"/>
    </row>
    <row r="5" spans="1:10" s="2" customFormat="1" ht="16.5" customHeight="1">
      <c r="A5" s="15" t="s">
        <v>3</v>
      </c>
      <c r="B5" s="16">
        <f>B6+B13</f>
        <v>597838.184</v>
      </c>
      <c r="C5" s="16">
        <f>C6+C13</f>
        <v>541415.11878</v>
      </c>
      <c r="D5" s="16">
        <f>D6+D13</f>
        <v>504054.605</v>
      </c>
      <c r="E5" s="17">
        <f>SUM(D5)/B5*100</f>
        <v>84.31288239695309</v>
      </c>
      <c r="F5" s="17">
        <f>SUM(D5)/C5*100</f>
        <v>93.09946979977461</v>
      </c>
      <c r="G5" s="63"/>
      <c r="H5" s="65"/>
      <c r="I5" s="65"/>
      <c r="J5" s="65"/>
    </row>
    <row r="6" spans="1:10" s="12" customFormat="1" ht="16.5" customHeight="1">
      <c r="A6" s="28" t="s">
        <v>34</v>
      </c>
      <c r="B6" s="53">
        <f>562310.395+15</f>
        <v>562325.395</v>
      </c>
      <c r="C6" s="23">
        <v>506364.32978</v>
      </c>
      <c r="D6" s="23">
        <f>477194.52+2.327</f>
        <v>477196.847</v>
      </c>
      <c r="E6" s="18">
        <f>SUM(D6)/B6*100</f>
        <v>84.8613367354679</v>
      </c>
      <c r="F6" s="18">
        <f>SUM(D6)/C6*100</f>
        <v>94.23982277885325</v>
      </c>
      <c r="G6" s="64"/>
      <c r="H6" s="66"/>
      <c r="I6" s="66"/>
      <c r="J6" s="66"/>
    </row>
    <row r="7" spans="1:10" s="3" customFormat="1" ht="14.25" customHeight="1">
      <c r="A7" s="10" t="s">
        <v>1</v>
      </c>
      <c r="B7" s="9">
        <f>312527.163</f>
        <v>312527.163</v>
      </c>
      <c r="C7" s="9">
        <v>285779.276</v>
      </c>
      <c r="D7" s="9">
        <v>278050.34</v>
      </c>
      <c r="E7" s="18">
        <f aca="true" t="shared" si="0" ref="E7:E73">SUM(D7)/B7*100</f>
        <v>88.96837552644985</v>
      </c>
      <c r="F7" s="18">
        <f aca="true" t="shared" si="1" ref="F7:F73">SUM(D7)/C7*100</f>
        <v>97.29548758462107</v>
      </c>
      <c r="G7" s="64"/>
      <c r="H7" s="64"/>
      <c r="I7" s="64"/>
      <c r="J7" s="64"/>
    </row>
    <row r="8" spans="1:10" s="3" customFormat="1" ht="15">
      <c r="A8" s="10" t="s">
        <v>29</v>
      </c>
      <c r="B8" s="9">
        <v>113569.19</v>
      </c>
      <c r="C8" s="9">
        <v>103994.549</v>
      </c>
      <c r="D8" s="9">
        <v>101631.48</v>
      </c>
      <c r="E8" s="18">
        <f t="shared" si="0"/>
        <v>89.48860161809729</v>
      </c>
      <c r="F8" s="18">
        <f t="shared" si="1"/>
        <v>97.72769917007861</v>
      </c>
      <c r="G8" s="64"/>
      <c r="H8" s="64"/>
      <c r="I8" s="64"/>
      <c r="J8" s="64"/>
    </row>
    <row r="9" spans="1:10" s="3" customFormat="1" ht="15">
      <c r="A9" s="10" t="s">
        <v>4</v>
      </c>
      <c r="B9" s="9">
        <v>73.087</v>
      </c>
      <c r="C9" s="9">
        <v>73.087</v>
      </c>
      <c r="D9" s="9">
        <v>72.45466</v>
      </c>
      <c r="E9" s="18">
        <f t="shared" si="0"/>
        <v>99.13481193645929</v>
      </c>
      <c r="F9" s="18"/>
      <c r="G9" s="64"/>
      <c r="H9" s="64"/>
      <c r="I9" s="64"/>
      <c r="J9" s="64"/>
    </row>
    <row r="10" spans="1:10" s="3" customFormat="1" ht="15">
      <c r="A10" s="10" t="s">
        <v>5</v>
      </c>
      <c r="B10" s="9">
        <v>33349.211</v>
      </c>
      <c r="C10" s="9">
        <v>28481.877</v>
      </c>
      <c r="D10" s="9">
        <v>24994.436</v>
      </c>
      <c r="E10" s="18">
        <f t="shared" si="0"/>
        <v>74.94760820578334</v>
      </c>
      <c r="F10" s="18">
        <f t="shared" si="1"/>
        <v>87.75557874925167</v>
      </c>
      <c r="G10" s="64"/>
      <c r="H10" s="64"/>
      <c r="I10" s="64"/>
      <c r="J10" s="64"/>
    </row>
    <row r="11" spans="1:10" s="3" customFormat="1" ht="15">
      <c r="A11" s="10" t="s">
        <v>31</v>
      </c>
      <c r="B11" s="9">
        <v>78527.174</v>
      </c>
      <c r="C11" s="9">
        <v>64475.829</v>
      </c>
      <c r="D11" s="9">
        <f>52883.956+2.327</f>
        <v>52886.282999999996</v>
      </c>
      <c r="E11" s="18">
        <f t="shared" si="0"/>
        <v>67.34774767267187</v>
      </c>
      <c r="F11" s="18">
        <f t="shared" si="1"/>
        <v>82.02497559201603</v>
      </c>
      <c r="G11" s="64"/>
      <c r="H11" s="64"/>
      <c r="I11" s="64"/>
      <c r="J11" s="64"/>
    </row>
    <row r="12" spans="1:10" s="3" customFormat="1" ht="15">
      <c r="A12" s="10" t="s">
        <v>13</v>
      </c>
      <c r="B12" s="9">
        <f>SUM(B6)-B7-B8-B9-B10-B11</f>
        <v>24279.570000000007</v>
      </c>
      <c r="C12" s="9">
        <f>SUM(C6)-C7-C8-C9-C10-C11</f>
        <v>23559.711779999954</v>
      </c>
      <c r="D12" s="9">
        <f>SUM(D6)-D7-D8-D9-D10-D11</f>
        <v>19561.853339999987</v>
      </c>
      <c r="E12" s="18">
        <f t="shared" si="0"/>
        <v>80.56919187613282</v>
      </c>
      <c r="F12" s="18">
        <f t="shared" si="1"/>
        <v>83.03095353062093</v>
      </c>
      <c r="G12" s="64"/>
      <c r="H12" s="64"/>
      <c r="I12" s="64"/>
      <c r="J12" s="64"/>
    </row>
    <row r="13" spans="1:10" s="3" customFormat="1" ht="15">
      <c r="A13" s="28" t="s">
        <v>14</v>
      </c>
      <c r="B13" s="56">
        <f>16516.755+17001.334+5+615.08+1374.62</f>
        <v>35512.789000000004</v>
      </c>
      <c r="C13" s="23">
        <v>35050.789</v>
      </c>
      <c r="D13" s="23">
        <v>26857.758</v>
      </c>
      <c r="E13" s="18">
        <f t="shared" si="0"/>
        <v>75.628410936691</v>
      </c>
      <c r="F13" s="18">
        <f t="shared" si="1"/>
        <v>76.62525941998054</v>
      </c>
      <c r="G13" s="64"/>
      <c r="H13" s="64"/>
      <c r="I13" s="64"/>
      <c r="J13" s="64"/>
    </row>
    <row r="14" spans="1:10" s="2" customFormat="1" ht="14.25">
      <c r="A14" s="15" t="s">
        <v>6</v>
      </c>
      <c r="B14" s="16">
        <f>B15+B22</f>
        <v>374317.85</v>
      </c>
      <c r="C14" s="16">
        <f>C15+C22</f>
        <v>345327.91699999996</v>
      </c>
      <c r="D14" s="16">
        <f>D15+D22</f>
        <v>327138.39199999993</v>
      </c>
      <c r="E14" s="17">
        <f t="shared" si="0"/>
        <v>87.39588347176068</v>
      </c>
      <c r="F14" s="17">
        <f t="shared" si="1"/>
        <v>94.73268041633598</v>
      </c>
      <c r="G14" s="65"/>
      <c r="H14" s="65"/>
      <c r="I14" s="65"/>
      <c r="J14" s="65"/>
    </row>
    <row r="15" spans="1:10" s="12" customFormat="1" ht="15">
      <c r="A15" s="28" t="s">
        <v>33</v>
      </c>
      <c r="B15" s="23">
        <f>328964.077+25068</f>
        <v>354032.077</v>
      </c>
      <c r="C15" s="23">
        <f>302052.821+22989.323</f>
        <v>325042.144</v>
      </c>
      <c r="D15" s="23">
        <f>287144.844+22989.323</f>
        <v>310134.16699999996</v>
      </c>
      <c r="E15" s="18">
        <f>SUM(D15)/B15*100</f>
        <v>87.60058400018933</v>
      </c>
      <c r="F15" s="18">
        <f>SUM(D15)/C15*100</f>
        <v>95.41352489971268</v>
      </c>
      <c r="G15" s="66"/>
      <c r="H15" s="66"/>
      <c r="I15" s="66"/>
      <c r="J15" s="66"/>
    </row>
    <row r="16" spans="1:10" s="3" customFormat="1" ht="15">
      <c r="A16" s="10" t="s">
        <v>1</v>
      </c>
      <c r="B16" s="9">
        <v>139154.262</v>
      </c>
      <c r="C16" s="9">
        <v>127624.526</v>
      </c>
      <c r="D16" s="9">
        <v>125370.512</v>
      </c>
      <c r="E16" s="18">
        <f t="shared" si="0"/>
        <v>90.09462606326784</v>
      </c>
      <c r="F16" s="18">
        <f t="shared" si="1"/>
        <v>98.23387081570827</v>
      </c>
      <c r="G16" s="64"/>
      <c r="H16" s="64"/>
      <c r="I16" s="64"/>
      <c r="J16" s="64"/>
    </row>
    <row r="17" spans="1:10" s="3" customFormat="1" ht="15">
      <c r="A17" s="10" t="s">
        <v>29</v>
      </c>
      <c r="B17" s="9">
        <v>50003.977</v>
      </c>
      <c r="C17" s="9">
        <v>45970.851</v>
      </c>
      <c r="D17" s="9">
        <v>44538.801</v>
      </c>
      <c r="E17" s="18">
        <f t="shared" si="0"/>
        <v>89.07051733105149</v>
      </c>
      <c r="F17" s="18">
        <f t="shared" si="1"/>
        <v>96.88487385191107</v>
      </c>
      <c r="G17" s="64"/>
      <c r="H17" s="64"/>
      <c r="I17" s="64"/>
      <c r="J17" s="64"/>
    </row>
    <row r="18" spans="1:10" s="3" customFormat="1" ht="15">
      <c r="A18" s="10" t="s">
        <v>4</v>
      </c>
      <c r="B18" s="56">
        <v>11600.87</v>
      </c>
      <c r="C18" s="9">
        <v>10820.22</v>
      </c>
      <c r="D18" s="9">
        <v>10560.827</v>
      </c>
      <c r="E18" s="18">
        <f t="shared" si="0"/>
        <v>91.034784460131</v>
      </c>
      <c r="F18" s="18">
        <f t="shared" si="1"/>
        <v>97.60270123897665</v>
      </c>
      <c r="G18" s="64"/>
      <c r="H18" s="64"/>
      <c r="I18" s="64"/>
      <c r="J18" s="64"/>
    </row>
    <row r="19" spans="1:10" s="3" customFormat="1" ht="15">
      <c r="A19" s="10" t="s">
        <v>5</v>
      </c>
      <c r="B19" s="9">
        <v>4056.884</v>
      </c>
      <c r="C19" s="9">
        <v>3736</v>
      </c>
      <c r="D19" s="9">
        <v>3663.778</v>
      </c>
      <c r="E19" s="18">
        <f t="shared" si="0"/>
        <v>90.31014936586799</v>
      </c>
      <c r="F19" s="18">
        <f t="shared" si="1"/>
        <v>98.06686295503212</v>
      </c>
      <c r="G19" s="64"/>
      <c r="H19" s="64"/>
      <c r="I19" s="64"/>
      <c r="J19" s="64"/>
    </row>
    <row r="20" spans="1:10" s="3" customFormat="1" ht="15">
      <c r="A20" s="10" t="s">
        <v>31</v>
      </c>
      <c r="B20" s="9">
        <v>30224.41</v>
      </c>
      <c r="C20" s="9">
        <v>27198.729</v>
      </c>
      <c r="D20" s="9">
        <v>21506.064</v>
      </c>
      <c r="E20" s="18">
        <f t="shared" si="0"/>
        <v>71.15461972624114</v>
      </c>
      <c r="F20" s="18">
        <f t="shared" si="1"/>
        <v>79.07010654799348</v>
      </c>
      <c r="G20" s="64"/>
      <c r="H20" s="64"/>
      <c r="I20" s="64"/>
      <c r="J20" s="64"/>
    </row>
    <row r="21" spans="1:10" s="3" customFormat="1" ht="15">
      <c r="A21" s="54" t="s">
        <v>13</v>
      </c>
      <c r="B21" s="9">
        <f>SUM(B15)-B16-B17-B18-B19-B20</f>
        <v>118991.674</v>
      </c>
      <c r="C21" s="9">
        <f>SUM(C15)-C16-C17-C18-C19-C20</f>
        <v>109691.81799999997</v>
      </c>
      <c r="D21" s="9">
        <f>SUM(D15)-D16-D17-D18-D19-D20</f>
        <v>104494.18499999995</v>
      </c>
      <c r="E21" s="18">
        <f t="shared" si="0"/>
        <v>87.81638369084543</v>
      </c>
      <c r="F21" s="18">
        <f t="shared" si="1"/>
        <v>95.26160374149326</v>
      </c>
      <c r="G21" s="64"/>
      <c r="H21" s="64"/>
      <c r="I21" s="64"/>
      <c r="J21" s="64"/>
    </row>
    <row r="22" spans="1:10" s="3" customFormat="1" ht="15">
      <c r="A22" s="55" t="s">
        <v>14</v>
      </c>
      <c r="B22" s="23">
        <f>11416.945+8868.828</f>
        <v>20285.773</v>
      </c>
      <c r="C22" s="23">
        <f>8868.828+11416.945</f>
        <v>20285.773</v>
      </c>
      <c r="D22" s="23">
        <v>17004.225</v>
      </c>
      <c r="E22" s="18">
        <f t="shared" si="0"/>
        <v>83.82340175057661</v>
      </c>
      <c r="F22" s="18">
        <f t="shared" si="1"/>
        <v>83.82340175057661</v>
      </c>
      <c r="G22" s="64"/>
      <c r="H22" s="64"/>
      <c r="I22" s="64"/>
      <c r="J22" s="64"/>
    </row>
    <row r="23" spans="1:10" s="2" customFormat="1" ht="28.5">
      <c r="A23" s="15" t="s">
        <v>28</v>
      </c>
      <c r="B23" s="16">
        <f>B24+B34</f>
        <v>700089.562</v>
      </c>
      <c r="C23" s="16">
        <f>C24+C34</f>
        <v>531347.091</v>
      </c>
      <c r="D23" s="16">
        <f>D24+D34</f>
        <v>509841.498</v>
      </c>
      <c r="E23" s="17">
        <f t="shared" si="0"/>
        <v>72.82518204435107</v>
      </c>
      <c r="F23" s="17">
        <f t="shared" si="1"/>
        <v>95.95262807225946</v>
      </c>
      <c r="G23" s="65"/>
      <c r="H23" s="65"/>
      <c r="I23" s="65"/>
      <c r="J23" s="65"/>
    </row>
    <row r="24" spans="1:10" s="12" customFormat="1" ht="15">
      <c r="A24" s="28" t="s">
        <v>33</v>
      </c>
      <c r="B24" s="23">
        <v>696905.234</v>
      </c>
      <c r="C24" s="23">
        <v>528243.755</v>
      </c>
      <c r="D24" s="23">
        <v>507714.602</v>
      </c>
      <c r="E24" s="18">
        <f>SUM(D24)/B24*100</f>
        <v>72.85274628888781</v>
      </c>
      <c r="F24" s="18">
        <f>SUM(D24)/C24*100</f>
        <v>96.11369698066757</v>
      </c>
      <c r="G24" s="66"/>
      <c r="H24" s="66"/>
      <c r="I24" s="66"/>
      <c r="J24" s="66"/>
    </row>
    <row r="25" spans="1:10" s="3" customFormat="1" ht="15">
      <c r="A25" s="10" t="s">
        <v>1</v>
      </c>
      <c r="B25" s="9">
        <v>11580.045</v>
      </c>
      <c r="C25" s="9">
        <v>10335.523</v>
      </c>
      <c r="D25" s="9">
        <v>10282.459</v>
      </c>
      <c r="E25" s="18">
        <f t="shared" si="0"/>
        <v>88.7946376719607</v>
      </c>
      <c r="F25" s="18">
        <f t="shared" si="1"/>
        <v>99.48658621339241</v>
      </c>
      <c r="G25" s="64"/>
      <c r="H25" s="64"/>
      <c r="I25" s="64"/>
      <c r="J25" s="64"/>
    </row>
    <row r="26" spans="1:10" s="3" customFormat="1" ht="15">
      <c r="A26" s="10" t="s">
        <v>29</v>
      </c>
      <c r="B26" s="9">
        <v>4160.428</v>
      </c>
      <c r="C26" s="9">
        <v>3726.599</v>
      </c>
      <c r="D26" s="9">
        <v>3695.987</v>
      </c>
      <c r="E26" s="18">
        <f t="shared" si="0"/>
        <v>88.83670141629659</v>
      </c>
      <c r="F26" s="18">
        <f t="shared" si="1"/>
        <v>99.17855395764342</v>
      </c>
      <c r="G26" s="64"/>
      <c r="H26" s="64"/>
      <c r="I26" s="64"/>
      <c r="J26" s="64"/>
    </row>
    <row r="27" spans="1:10" s="3" customFormat="1" ht="15">
      <c r="A27" s="10" t="s">
        <v>4</v>
      </c>
      <c r="B27" s="9">
        <v>77.62</v>
      </c>
      <c r="C27" s="9">
        <v>76.38</v>
      </c>
      <c r="D27" s="9">
        <v>76.38</v>
      </c>
      <c r="E27" s="18">
        <f t="shared" si="0"/>
        <v>98.4024735892811</v>
      </c>
      <c r="F27" s="18">
        <f t="shared" si="1"/>
        <v>100</v>
      </c>
      <c r="G27" s="64"/>
      <c r="H27" s="64"/>
      <c r="I27" s="64"/>
      <c r="J27" s="64"/>
    </row>
    <row r="28" spans="1:10" s="3" customFormat="1" ht="15">
      <c r="A28" s="10" t="s">
        <v>5</v>
      </c>
      <c r="B28" s="9">
        <v>138.829</v>
      </c>
      <c r="C28" s="9">
        <v>132.1</v>
      </c>
      <c r="D28" s="9">
        <v>132.1</v>
      </c>
      <c r="E28" s="18">
        <f t="shared" si="0"/>
        <v>95.15302998653019</v>
      </c>
      <c r="F28" s="18">
        <f t="shared" si="1"/>
        <v>100</v>
      </c>
      <c r="G28" s="64"/>
      <c r="H28" s="64"/>
      <c r="I28" s="64"/>
      <c r="J28" s="64"/>
    </row>
    <row r="29" spans="1:10" s="3" customFormat="1" ht="15">
      <c r="A29" s="10" t="s">
        <v>31</v>
      </c>
      <c r="B29" s="9">
        <v>1150.295</v>
      </c>
      <c r="C29" s="9">
        <v>930.457</v>
      </c>
      <c r="D29" s="9">
        <v>841.334</v>
      </c>
      <c r="E29" s="18">
        <f t="shared" si="0"/>
        <v>73.14071607718019</v>
      </c>
      <c r="F29" s="18">
        <f t="shared" si="1"/>
        <v>90.42158853122713</v>
      </c>
      <c r="G29" s="64"/>
      <c r="H29" s="64"/>
      <c r="I29" s="64"/>
      <c r="J29" s="64"/>
    </row>
    <row r="30" spans="1:10" s="3" customFormat="1" ht="15">
      <c r="A30" s="10" t="s">
        <v>13</v>
      </c>
      <c r="B30" s="9">
        <f>SUM(B24)-B25-B26-B27-B28-B29</f>
        <v>679798.017</v>
      </c>
      <c r="C30" s="9">
        <f>SUM(C24)-C25-C26-C27-C28-C29</f>
        <v>513042.69600000005</v>
      </c>
      <c r="D30" s="9">
        <f>SUM(D24)-D25-D26-D27-D28-D29</f>
        <v>492686.34200000006</v>
      </c>
      <c r="E30" s="18">
        <f t="shared" si="0"/>
        <v>72.47540146913963</v>
      </c>
      <c r="F30" s="18">
        <f t="shared" si="1"/>
        <v>96.03223003490533</v>
      </c>
      <c r="G30" s="64"/>
      <c r="H30" s="64"/>
      <c r="I30" s="64"/>
      <c r="J30" s="64"/>
    </row>
    <row r="31" spans="1:10" s="3" customFormat="1" ht="15">
      <c r="A31" s="10" t="s">
        <v>20</v>
      </c>
      <c r="B31" s="9">
        <f>SUM(B32:B33)</f>
        <v>664987.23</v>
      </c>
      <c r="C31" s="9">
        <f>SUM(C32:C33)</f>
        <v>499029.309</v>
      </c>
      <c r="D31" s="9">
        <f>SUM(D32:D33)</f>
        <v>479908.004</v>
      </c>
      <c r="E31" s="18">
        <f>SUM(D31)/B31*100</f>
        <v>72.1680029855611</v>
      </c>
      <c r="F31" s="18">
        <f>SUM(D31)/C31*100</f>
        <v>96.16830020699246</v>
      </c>
      <c r="G31" s="64"/>
      <c r="H31" s="64"/>
      <c r="I31" s="64"/>
      <c r="J31" s="64"/>
    </row>
    <row r="32" spans="1:10" s="3" customFormat="1" ht="30">
      <c r="A32" s="11" t="s">
        <v>24</v>
      </c>
      <c r="B32" s="9">
        <v>431369.7</v>
      </c>
      <c r="C32" s="9">
        <v>390326.551</v>
      </c>
      <c r="D32" s="9">
        <v>375276.585</v>
      </c>
      <c r="E32" s="18">
        <f>SUM(D32)/B32*100</f>
        <v>86.99651018604227</v>
      </c>
      <c r="F32" s="18">
        <f>SUM(D32)/C32*100</f>
        <v>96.14426280727186</v>
      </c>
      <c r="G32" s="64"/>
      <c r="H32" s="64"/>
      <c r="I32" s="64"/>
      <c r="J32" s="64"/>
    </row>
    <row r="33" spans="1:10" s="3" customFormat="1" ht="15">
      <c r="A33" s="11" t="s">
        <v>21</v>
      </c>
      <c r="B33" s="9">
        <v>233617.53</v>
      </c>
      <c r="C33" s="9">
        <v>108702.758</v>
      </c>
      <c r="D33" s="9">
        <v>104631.419</v>
      </c>
      <c r="E33" s="18">
        <f>SUM(D33)/B33*100</f>
        <v>44.78748619592031</v>
      </c>
      <c r="F33" s="18">
        <f>SUM(D33)/C33*100</f>
        <v>96.25461296943357</v>
      </c>
      <c r="G33" s="64"/>
      <c r="H33" s="64"/>
      <c r="I33" s="64"/>
      <c r="J33" s="64"/>
    </row>
    <row r="34" spans="1:10" s="3" customFormat="1" ht="15">
      <c r="A34" s="28" t="s">
        <v>14</v>
      </c>
      <c r="B34" s="23">
        <v>3184.328</v>
      </c>
      <c r="C34" s="23">
        <v>3103.336</v>
      </c>
      <c r="D34" s="23">
        <v>2126.896</v>
      </c>
      <c r="E34" s="18">
        <f>SUM(D34)/B34*100</f>
        <v>66.7926168409787</v>
      </c>
      <c r="F34" s="18">
        <f>SUM(D34)/C34*100</f>
        <v>68.53579502831792</v>
      </c>
      <c r="G34" s="64"/>
      <c r="H34" s="64"/>
      <c r="I34" s="64"/>
      <c r="J34" s="64"/>
    </row>
    <row r="35" spans="1:10" s="3" customFormat="1" ht="15">
      <c r="A35" s="10" t="s">
        <v>68</v>
      </c>
      <c r="B35" s="9">
        <v>156.528</v>
      </c>
      <c r="C35" s="9">
        <v>75.536</v>
      </c>
      <c r="D35" s="9">
        <v>75.536</v>
      </c>
      <c r="E35" s="18">
        <f>SUM(D35)/B35*100</f>
        <v>48.25718082387816</v>
      </c>
      <c r="F35" s="18">
        <f>SUM(D35)/C35*100</f>
        <v>100</v>
      </c>
      <c r="G35" s="64"/>
      <c r="H35" s="64"/>
      <c r="I35" s="64"/>
      <c r="J35" s="64"/>
    </row>
    <row r="36" spans="1:10" s="2" customFormat="1" ht="14.25">
      <c r="A36" s="15" t="s">
        <v>7</v>
      </c>
      <c r="B36" s="16">
        <f>B37+B42</f>
        <v>96866.24799999999</v>
      </c>
      <c r="C36" s="16">
        <f>C37+C42</f>
        <v>88493.135</v>
      </c>
      <c r="D36" s="16">
        <f>D37+D42</f>
        <v>78177.23</v>
      </c>
      <c r="E36" s="17">
        <f t="shared" si="0"/>
        <v>80.70636740260653</v>
      </c>
      <c r="F36" s="17">
        <f t="shared" si="1"/>
        <v>88.342705905944</v>
      </c>
      <c r="G36" s="65"/>
      <c r="H36" s="65"/>
      <c r="I36" s="65"/>
      <c r="J36" s="65"/>
    </row>
    <row r="37" spans="1:10" s="12" customFormat="1" ht="15">
      <c r="A37" s="28" t="s">
        <v>33</v>
      </c>
      <c r="B37" s="23">
        <v>77949.817</v>
      </c>
      <c r="C37" s="23">
        <v>69776.704</v>
      </c>
      <c r="D37" s="23">
        <f>66556.201+261.81</f>
        <v>66818.011</v>
      </c>
      <c r="E37" s="18">
        <f>SUM(D37)/B37*100</f>
        <v>85.71926602470408</v>
      </c>
      <c r="F37" s="18">
        <f>SUM(D37)/C37*100</f>
        <v>95.75976962167775</v>
      </c>
      <c r="G37" s="66"/>
      <c r="H37" s="66"/>
      <c r="I37" s="66"/>
      <c r="J37" s="66"/>
    </row>
    <row r="38" spans="1:10" s="3" customFormat="1" ht="15">
      <c r="A38" s="10" t="s">
        <v>1</v>
      </c>
      <c r="B38" s="9">
        <v>33097.391</v>
      </c>
      <c r="C38" s="9">
        <v>30186.763</v>
      </c>
      <c r="D38" s="9">
        <v>29762.041</v>
      </c>
      <c r="E38" s="18">
        <f t="shared" si="0"/>
        <v>89.92261958049804</v>
      </c>
      <c r="F38" s="18">
        <f t="shared" si="1"/>
        <v>98.59301906600587</v>
      </c>
      <c r="G38" s="64"/>
      <c r="H38" s="64"/>
      <c r="I38" s="64"/>
      <c r="J38" s="64"/>
    </row>
    <row r="39" spans="1:10" s="3" customFormat="1" ht="15">
      <c r="A39" s="10" t="s">
        <v>29</v>
      </c>
      <c r="B39" s="9">
        <v>12091.034</v>
      </c>
      <c r="C39" s="9">
        <v>11049.933</v>
      </c>
      <c r="D39" s="9">
        <v>10845.982</v>
      </c>
      <c r="E39" s="18">
        <f t="shared" si="0"/>
        <v>89.70268382340171</v>
      </c>
      <c r="F39" s="18">
        <f t="shared" si="1"/>
        <v>98.15427840150704</v>
      </c>
      <c r="G39" s="64"/>
      <c r="H39" s="64"/>
      <c r="I39" s="64"/>
      <c r="J39" s="64"/>
    </row>
    <row r="40" spans="1:10" s="3" customFormat="1" ht="15">
      <c r="A40" s="10" t="s">
        <v>31</v>
      </c>
      <c r="B40" s="9">
        <v>5631.026</v>
      </c>
      <c r="C40" s="9">
        <v>4434.978</v>
      </c>
      <c r="D40" s="9">
        <v>3753.203</v>
      </c>
      <c r="E40" s="18">
        <f t="shared" si="0"/>
        <v>66.65220512212161</v>
      </c>
      <c r="F40" s="18">
        <f t="shared" si="1"/>
        <v>84.62731945908187</v>
      </c>
      <c r="G40" s="64"/>
      <c r="H40" s="64"/>
      <c r="I40" s="64"/>
      <c r="J40" s="64"/>
    </row>
    <row r="41" spans="1:10" s="3" customFormat="1" ht="15">
      <c r="A41" s="10" t="s">
        <v>13</v>
      </c>
      <c r="B41" s="9">
        <f>SUM(B37)-B38-B39-B40</f>
        <v>27130.365999999995</v>
      </c>
      <c r="C41" s="9">
        <f>SUM(C37)-C38-C39-C40</f>
        <v>24105.03</v>
      </c>
      <c r="D41" s="9">
        <f>SUM(D37)-D38-D39-D40</f>
        <v>22456.785</v>
      </c>
      <c r="E41" s="18">
        <f t="shared" si="0"/>
        <v>82.77361610234084</v>
      </c>
      <c r="F41" s="18">
        <f t="shared" si="1"/>
        <v>93.16223626355163</v>
      </c>
      <c r="G41" s="64"/>
      <c r="H41" s="64"/>
      <c r="I41" s="64"/>
      <c r="J41" s="64"/>
    </row>
    <row r="42" spans="1:10" s="3" customFormat="1" ht="15">
      <c r="A42" s="28" t="s">
        <v>14</v>
      </c>
      <c r="B42" s="23">
        <f>8951+9965.431</f>
        <v>18916.431</v>
      </c>
      <c r="C42" s="23">
        <v>18716.431</v>
      </c>
      <c r="D42" s="23">
        <v>11359.219</v>
      </c>
      <c r="E42" s="18">
        <f t="shared" si="0"/>
        <v>60.049482907214355</v>
      </c>
      <c r="F42" s="18">
        <f t="shared" si="1"/>
        <v>60.69115954852716</v>
      </c>
      <c r="G42" s="64"/>
      <c r="H42" s="64"/>
      <c r="I42" s="64"/>
      <c r="J42" s="64"/>
    </row>
    <row r="43" spans="1:10" s="2" customFormat="1" ht="14.25">
      <c r="A43" s="15" t="s">
        <v>8</v>
      </c>
      <c r="B43" s="16">
        <f>B44+B49</f>
        <v>45876.041</v>
      </c>
      <c r="C43" s="16">
        <f>C44+C49</f>
        <v>41854.769</v>
      </c>
      <c r="D43" s="16">
        <f>D44+D49</f>
        <v>38706.776</v>
      </c>
      <c r="E43" s="17">
        <f t="shared" si="0"/>
        <v>84.3725290070257</v>
      </c>
      <c r="F43" s="17">
        <f t="shared" si="1"/>
        <v>92.47877105712851</v>
      </c>
      <c r="G43" s="65"/>
      <c r="H43" s="65"/>
      <c r="I43" s="65"/>
      <c r="J43" s="65"/>
    </row>
    <row r="44" spans="1:10" s="12" customFormat="1" ht="15">
      <c r="A44" s="28" t="s">
        <v>33</v>
      </c>
      <c r="B44" s="23">
        <v>40360.364</v>
      </c>
      <c r="C44" s="23">
        <v>36339.092</v>
      </c>
      <c r="D44" s="23">
        <v>34613.544</v>
      </c>
      <c r="E44" s="18">
        <f>SUM(D44)/B44*100</f>
        <v>85.76122851617492</v>
      </c>
      <c r="F44" s="18">
        <f>SUM(D44)/C44*100</f>
        <v>95.25153793055699</v>
      </c>
      <c r="G44" s="66"/>
      <c r="H44" s="66"/>
      <c r="I44" s="66"/>
      <c r="J44" s="66"/>
    </row>
    <row r="45" spans="1:10" s="3" customFormat="1" ht="15">
      <c r="A45" s="10" t="s">
        <v>1</v>
      </c>
      <c r="B45" s="9">
        <v>20371.66</v>
      </c>
      <c r="C45" s="9">
        <v>18397.533</v>
      </c>
      <c r="D45" s="9">
        <v>17948.621</v>
      </c>
      <c r="E45" s="18">
        <f t="shared" si="0"/>
        <v>88.10583428154602</v>
      </c>
      <c r="F45" s="18">
        <f t="shared" si="1"/>
        <v>97.55993371502582</v>
      </c>
      <c r="G45" s="64"/>
      <c r="H45" s="64"/>
      <c r="I45" s="64"/>
      <c r="J45" s="64"/>
    </row>
    <row r="46" spans="1:10" s="3" customFormat="1" ht="15">
      <c r="A46" s="10" t="s">
        <v>29</v>
      </c>
      <c r="B46" s="9">
        <v>7320.765</v>
      </c>
      <c r="C46" s="9">
        <v>6613.967</v>
      </c>
      <c r="D46" s="9">
        <v>6446.334</v>
      </c>
      <c r="E46" s="18">
        <f t="shared" si="0"/>
        <v>88.05546961280685</v>
      </c>
      <c r="F46" s="18">
        <f t="shared" si="1"/>
        <v>97.4654696644238</v>
      </c>
      <c r="G46" s="64"/>
      <c r="H46" s="64"/>
      <c r="I46" s="64"/>
      <c r="J46" s="64"/>
    </row>
    <row r="47" spans="1:10" s="3" customFormat="1" ht="15">
      <c r="A47" s="10" t="s">
        <v>31</v>
      </c>
      <c r="B47" s="9">
        <v>3303.442</v>
      </c>
      <c r="C47" s="9">
        <v>2684.241</v>
      </c>
      <c r="D47" s="9">
        <v>2142.314</v>
      </c>
      <c r="E47" s="18">
        <f t="shared" si="0"/>
        <v>64.85096453941071</v>
      </c>
      <c r="F47" s="18">
        <f t="shared" si="1"/>
        <v>79.8107919519894</v>
      </c>
      <c r="G47" s="64"/>
      <c r="H47" s="64"/>
      <c r="I47" s="64"/>
      <c r="J47" s="64"/>
    </row>
    <row r="48" spans="1:10" s="3" customFormat="1" ht="15">
      <c r="A48" s="10" t="s">
        <v>13</v>
      </c>
      <c r="B48" s="9">
        <f>SUM(B44)-B45-B46-B47</f>
        <v>9364.497000000003</v>
      </c>
      <c r="C48" s="9">
        <f>SUM(C44)-C45-C46-C47</f>
        <v>8643.350999999997</v>
      </c>
      <c r="D48" s="9">
        <f>SUM(D44)-D45-D46-D47</f>
        <v>8076.275000000003</v>
      </c>
      <c r="E48" s="18">
        <f t="shared" si="0"/>
        <v>86.24355371142732</v>
      </c>
      <c r="F48" s="18">
        <f t="shared" si="1"/>
        <v>93.4391649720115</v>
      </c>
      <c r="G48" s="64"/>
      <c r="H48" s="64"/>
      <c r="I48" s="64"/>
      <c r="J48" s="64"/>
    </row>
    <row r="49" spans="1:10" s="3" customFormat="1" ht="15">
      <c r="A49" s="28" t="s">
        <v>14</v>
      </c>
      <c r="B49" s="23">
        <f>2828.9+2686.777</f>
        <v>5515.677</v>
      </c>
      <c r="C49" s="23">
        <v>5515.677</v>
      </c>
      <c r="D49" s="23">
        <v>4093.232</v>
      </c>
      <c r="E49" s="18">
        <f t="shared" si="0"/>
        <v>74.21087202894586</v>
      </c>
      <c r="F49" s="18">
        <f t="shared" si="1"/>
        <v>74.21087202894586</v>
      </c>
      <c r="G49" s="64"/>
      <c r="H49" s="64"/>
      <c r="I49" s="64"/>
      <c r="J49" s="64"/>
    </row>
    <row r="50" spans="1:10" s="3" customFormat="1" ht="14.25">
      <c r="A50" s="15" t="s">
        <v>0</v>
      </c>
      <c r="B50" s="16">
        <f>B51+B56</f>
        <v>79111.3</v>
      </c>
      <c r="C50" s="16">
        <f>C51+C56</f>
        <v>72260.516</v>
      </c>
      <c r="D50" s="16">
        <f>D51+D56</f>
        <v>68708.925</v>
      </c>
      <c r="E50" s="17">
        <f t="shared" si="0"/>
        <v>86.8509618727034</v>
      </c>
      <c r="F50" s="17">
        <f t="shared" si="1"/>
        <v>95.08501849059589</v>
      </c>
      <c r="G50" s="64"/>
      <c r="H50" s="64"/>
      <c r="I50" s="64"/>
      <c r="J50" s="64"/>
    </row>
    <row r="51" spans="1:10" s="3" customFormat="1" ht="15">
      <c r="A51" s="28" t="s">
        <v>33</v>
      </c>
      <c r="B51" s="23">
        <f>74795.85-89.88</f>
        <v>74705.97</v>
      </c>
      <c r="C51" s="23">
        <v>67855.186</v>
      </c>
      <c r="D51" s="23">
        <v>64955.98</v>
      </c>
      <c r="E51" s="18">
        <f>SUM(D51)/B51*100</f>
        <v>86.94884759544652</v>
      </c>
      <c r="F51" s="18">
        <f>SUM(D51)/C51*100</f>
        <v>95.72736268087158</v>
      </c>
      <c r="G51" s="64"/>
      <c r="H51" s="64"/>
      <c r="I51" s="64"/>
      <c r="J51" s="64"/>
    </row>
    <row r="52" spans="1:10" s="3" customFormat="1" ht="15">
      <c r="A52" s="10" t="s">
        <v>1</v>
      </c>
      <c r="B52" s="9">
        <v>41542.044</v>
      </c>
      <c r="C52" s="9">
        <v>37557.94</v>
      </c>
      <c r="D52" s="9">
        <v>37098.745</v>
      </c>
      <c r="E52" s="18">
        <f t="shared" si="0"/>
        <v>89.30409153675731</v>
      </c>
      <c r="F52" s="18">
        <f t="shared" si="1"/>
        <v>98.77736904633215</v>
      </c>
      <c r="G52" s="64"/>
      <c r="H52" s="64"/>
      <c r="I52" s="64"/>
      <c r="J52" s="64"/>
    </row>
    <row r="53" spans="1:10" s="3" customFormat="1" ht="15">
      <c r="A53" s="10" t="s">
        <v>29</v>
      </c>
      <c r="B53" s="9">
        <v>15008.932</v>
      </c>
      <c r="C53" s="9">
        <v>13661.424</v>
      </c>
      <c r="D53" s="9">
        <v>13400.78</v>
      </c>
      <c r="E53" s="18">
        <f t="shared" si="0"/>
        <v>89.28536687353905</v>
      </c>
      <c r="F53" s="18">
        <f t="shared" si="1"/>
        <v>98.09211689791636</v>
      </c>
      <c r="G53" s="64"/>
      <c r="H53" s="64"/>
      <c r="I53" s="64"/>
      <c r="J53" s="64"/>
    </row>
    <row r="54" spans="1:10" s="3" customFormat="1" ht="15">
      <c r="A54" s="10" t="s">
        <v>31</v>
      </c>
      <c r="B54" s="9">
        <v>4210.676</v>
      </c>
      <c r="C54" s="9">
        <v>3554.652</v>
      </c>
      <c r="D54" s="9">
        <v>2919.663</v>
      </c>
      <c r="E54" s="18">
        <f t="shared" si="0"/>
        <v>69.33953122966477</v>
      </c>
      <c r="F54" s="18">
        <f t="shared" si="1"/>
        <v>82.13639478632507</v>
      </c>
      <c r="G54" s="64"/>
      <c r="H54" s="64"/>
      <c r="I54" s="64"/>
      <c r="J54" s="64"/>
    </row>
    <row r="55" spans="1:10" s="3" customFormat="1" ht="15">
      <c r="A55" s="10" t="s">
        <v>13</v>
      </c>
      <c r="B55" s="9">
        <f>SUM(B51)-B52-B53-B54</f>
        <v>13944.318</v>
      </c>
      <c r="C55" s="9">
        <f>SUM(C51)-C52-C53-C54</f>
        <v>13081.17</v>
      </c>
      <c r="D55" s="9">
        <f>SUM(D51)-D52-D53-D54</f>
        <v>11536.792</v>
      </c>
      <c r="E55" s="18">
        <f t="shared" si="0"/>
        <v>82.73471674986185</v>
      </c>
      <c r="F55" s="18">
        <f t="shared" si="1"/>
        <v>88.19388479776656</v>
      </c>
      <c r="G55" s="64"/>
      <c r="H55" s="64"/>
      <c r="I55" s="64"/>
      <c r="J55" s="64"/>
    </row>
    <row r="56" spans="1:10" s="3" customFormat="1" ht="15">
      <c r="A56" s="28" t="s">
        <v>14</v>
      </c>
      <c r="B56" s="23">
        <f>200+4205.33</f>
        <v>4405.33</v>
      </c>
      <c r="C56" s="23">
        <f>200+4205.33</f>
        <v>4405.33</v>
      </c>
      <c r="D56" s="23">
        <v>3752.945</v>
      </c>
      <c r="E56" s="18">
        <f t="shared" si="0"/>
        <v>85.19100725711809</v>
      </c>
      <c r="F56" s="18">
        <f t="shared" si="1"/>
        <v>85.19100725711809</v>
      </c>
      <c r="G56" s="64"/>
      <c r="H56" s="64"/>
      <c r="I56" s="64"/>
      <c r="J56" s="64"/>
    </row>
    <row r="57" spans="1:10" s="3" customFormat="1" ht="14.25" customHeight="1">
      <c r="A57" s="19" t="s">
        <v>9</v>
      </c>
      <c r="B57" s="20">
        <f>B58+B63</f>
        <v>294005.634</v>
      </c>
      <c r="C57" s="20">
        <f>C58+C63</f>
        <v>280974.653</v>
      </c>
      <c r="D57" s="20">
        <f>D58+D63</f>
        <v>224441.9996</v>
      </c>
      <c r="E57" s="17">
        <f t="shared" si="0"/>
        <v>76.339353279196</v>
      </c>
      <c r="F57" s="17">
        <f t="shared" si="1"/>
        <v>79.8798031080761</v>
      </c>
      <c r="G57" s="64"/>
      <c r="H57" s="64"/>
      <c r="I57" s="64"/>
      <c r="J57" s="64"/>
    </row>
    <row r="58" spans="1:10" s="3" customFormat="1" ht="14.25" customHeight="1">
      <c r="A58" s="28" t="s">
        <v>33</v>
      </c>
      <c r="B58" s="23">
        <v>194005.428</v>
      </c>
      <c r="C58" s="23">
        <v>180974.447</v>
      </c>
      <c r="D58" s="23">
        <f>131777.975+459.847+10791.2016</f>
        <v>143029.02360000001</v>
      </c>
      <c r="E58" s="18">
        <f>SUM(D58)/B58*100</f>
        <v>73.7242380661638</v>
      </c>
      <c r="F58" s="18">
        <f>SUM(D58)/C58*100</f>
        <v>79.03271758581477</v>
      </c>
      <c r="G58" s="64"/>
      <c r="H58" s="64"/>
      <c r="I58" s="64"/>
      <c r="J58" s="64"/>
    </row>
    <row r="59" spans="1:10" s="3" customFormat="1" ht="15">
      <c r="A59" s="10" t="s">
        <v>1</v>
      </c>
      <c r="B59" s="9">
        <v>423.637</v>
      </c>
      <c r="C59" s="9">
        <v>410.845</v>
      </c>
      <c r="D59" s="9">
        <v>353.972</v>
      </c>
      <c r="E59" s="18">
        <f t="shared" si="0"/>
        <v>83.55549680504771</v>
      </c>
      <c r="F59" s="18">
        <f t="shared" si="1"/>
        <v>86.15706653360755</v>
      </c>
      <c r="G59" s="64"/>
      <c r="H59" s="64"/>
      <c r="I59" s="64"/>
      <c r="J59" s="64"/>
    </row>
    <row r="60" spans="1:10" s="3" customFormat="1" ht="15">
      <c r="A60" s="10" t="s">
        <v>29</v>
      </c>
      <c r="B60" s="9">
        <v>153.961</v>
      </c>
      <c r="C60" s="9">
        <v>149.311</v>
      </c>
      <c r="D60" s="9">
        <v>125.81</v>
      </c>
      <c r="E60" s="18">
        <f t="shared" si="0"/>
        <v>81.71549937971304</v>
      </c>
      <c r="F60" s="18">
        <f t="shared" si="1"/>
        <v>84.26036929630101</v>
      </c>
      <c r="G60" s="64"/>
      <c r="H60" s="64"/>
      <c r="I60" s="64"/>
      <c r="J60" s="64"/>
    </row>
    <row r="61" spans="1:10" s="3" customFormat="1" ht="15">
      <c r="A61" s="10" t="s">
        <v>31</v>
      </c>
      <c r="B61" s="9">
        <v>15891.008</v>
      </c>
      <c r="C61" s="9">
        <v>14115.278</v>
      </c>
      <c r="D61" s="9">
        <v>13249.915</v>
      </c>
      <c r="E61" s="18">
        <f t="shared" si="0"/>
        <v>83.3799529897663</v>
      </c>
      <c r="F61" s="18">
        <f t="shared" si="1"/>
        <v>93.86931663690932</v>
      </c>
      <c r="G61" s="64"/>
      <c r="H61" s="64"/>
      <c r="I61" s="64"/>
      <c r="J61" s="64"/>
    </row>
    <row r="62" spans="1:10" s="3" customFormat="1" ht="15">
      <c r="A62" s="10" t="s">
        <v>13</v>
      </c>
      <c r="B62" s="9">
        <f>SUM(B58)-B59-B60-B61</f>
        <v>177536.82200000001</v>
      </c>
      <c r="C62" s="9">
        <f>SUM(C58)-C59-C60-C61</f>
        <v>166299.013</v>
      </c>
      <c r="D62" s="9">
        <f>SUM(D58)-D59-D60-D61</f>
        <v>129299.3266</v>
      </c>
      <c r="E62" s="18">
        <f t="shared" si="0"/>
        <v>72.8295826991879</v>
      </c>
      <c r="F62" s="18">
        <f t="shared" si="1"/>
        <v>77.75110884151789</v>
      </c>
      <c r="G62" s="64"/>
      <c r="H62" s="64"/>
      <c r="I62" s="64"/>
      <c r="J62" s="64"/>
    </row>
    <row r="63" spans="1:10" s="3" customFormat="1" ht="15">
      <c r="A63" s="28" t="s">
        <v>14</v>
      </c>
      <c r="B63" s="23">
        <f>61251.718-35861.8+74373.288+237</f>
        <v>100000.206</v>
      </c>
      <c r="C63" s="23">
        <v>100000.206</v>
      </c>
      <c r="D63" s="23">
        <f>81411.621+1.355</f>
        <v>81412.976</v>
      </c>
      <c r="E63" s="18">
        <f t="shared" si="0"/>
        <v>81.41280828961492</v>
      </c>
      <c r="F63" s="18">
        <f t="shared" si="1"/>
        <v>81.41280828961492</v>
      </c>
      <c r="G63" s="64"/>
      <c r="H63" s="64"/>
      <c r="I63" s="64"/>
      <c r="J63" s="64"/>
    </row>
    <row r="64" spans="1:10" s="3" customFormat="1" ht="17.25" customHeight="1">
      <c r="A64" s="19" t="s">
        <v>23</v>
      </c>
      <c r="B64" s="20">
        <f>SUM(B65)</f>
        <v>76063.756</v>
      </c>
      <c r="C64" s="20">
        <f>SUM(C65)</f>
        <v>72801.421</v>
      </c>
      <c r="D64" s="20">
        <f>SUM(D65)</f>
        <v>39900.053</v>
      </c>
      <c r="E64" s="17">
        <f t="shared" si="0"/>
        <v>52.45606462031668</v>
      </c>
      <c r="F64" s="17">
        <f t="shared" si="1"/>
        <v>54.80669532535636</v>
      </c>
      <c r="G64" s="64"/>
      <c r="H64" s="64"/>
      <c r="I64" s="64"/>
      <c r="J64" s="64"/>
    </row>
    <row r="65" spans="1:10" s="3" customFormat="1" ht="15">
      <c r="A65" s="28" t="s">
        <v>14</v>
      </c>
      <c r="B65" s="23">
        <f>19538.959+63761.797-7237</f>
        <v>76063.756</v>
      </c>
      <c r="C65" s="23">
        <v>72801.421</v>
      </c>
      <c r="D65" s="23">
        <f>39137.391+762.662</f>
        <v>39900.053</v>
      </c>
      <c r="E65" s="18">
        <f t="shared" si="0"/>
        <v>52.45606462031668</v>
      </c>
      <c r="F65" s="18">
        <f t="shared" si="1"/>
        <v>54.80669532535636</v>
      </c>
      <c r="G65" s="64"/>
      <c r="H65" s="64"/>
      <c r="I65" s="64"/>
      <c r="J65" s="64"/>
    </row>
    <row r="66" spans="1:10" s="3" customFormat="1" ht="15" customHeight="1">
      <c r="A66" s="21" t="s">
        <v>18</v>
      </c>
      <c r="B66" s="20">
        <f>SUM(B67:B68)</f>
        <v>158783.844</v>
      </c>
      <c r="C66" s="20">
        <f>SUM(C67:C68)</f>
        <v>154993.19400000002</v>
      </c>
      <c r="D66" s="20">
        <f>SUM(D67:D68)</f>
        <v>150539.413</v>
      </c>
      <c r="E66" s="17">
        <f t="shared" si="0"/>
        <v>94.80776457332774</v>
      </c>
      <c r="F66" s="17">
        <f t="shared" si="1"/>
        <v>97.12646672730673</v>
      </c>
      <c r="G66" s="64"/>
      <c r="H66" s="64"/>
      <c r="I66" s="64"/>
      <c r="J66" s="64"/>
    </row>
    <row r="67" spans="1:10" s="3" customFormat="1" ht="15">
      <c r="A67" s="28" t="s">
        <v>13</v>
      </c>
      <c r="B67" s="23">
        <v>60120.369</v>
      </c>
      <c r="C67" s="23">
        <v>58035.719</v>
      </c>
      <c r="D67" s="23">
        <v>55361.607</v>
      </c>
      <c r="E67" s="18">
        <f t="shared" si="0"/>
        <v>92.08460946073036</v>
      </c>
      <c r="F67" s="18">
        <f t="shared" si="1"/>
        <v>95.39229969736397</v>
      </c>
      <c r="G67" s="64"/>
      <c r="H67" s="64"/>
      <c r="I67" s="64"/>
      <c r="J67" s="64"/>
    </row>
    <row r="68" spans="1:10" s="3" customFormat="1" ht="15">
      <c r="A68" s="28" t="s">
        <v>14</v>
      </c>
      <c r="B68" s="23">
        <f>40309.086+52354.389+6000</f>
        <v>98663.475</v>
      </c>
      <c r="C68" s="23">
        <v>96957.475</v>
      </c>
      <c r="D68" s="23">
        <v>95177.806</v>
      </c>
      <c r="E68" s="18">
        <f t="shared" si="0"/>
        <v>96.46711308313435</v>
      </c>
      <c r="F68" s="18">
        <f t="shared" si="1"/>
        <v>98.16448499715983</v>
      </c>
      <c r="G68" s="64"/>
      <c r="H68" s="64"/>
      <c r="I68" s="64"/>
      <c r="J68" s="64"/>
    </row>
    <row r="69" spans="1:10" s="3" customFormat="1" ht="60.75" customHeight="1">
      <c r="A69" s="22" t="s">
        <v>22</v>
      </c>
      <c r="B69" s="20">
        <f>SUM(B70:B70)</f>
        <v>46206</v>
      </c>
      <c r="C69" s="20">
        <f>SUM(C70:C70)</f>
        <v>46206</v>
      </c>
      <c r="D69" s="20">
        <f>SUM(D70:D70)</f>
        <v>34283.45</v>
      </c>
      <c r="E69" s="17">
        <f t="shared" si="0"/>
        <v>74.19696576202224</v>
      </c>
      <c r="F69" s="17">
        <f t="shared" si="1"/>
        <v>74.19696576202224</v>
      </c>
      <c r="G69" s="64"/>
      <c r="H69" s="64"/>
      <c r="I69" s="64"/>
      <c r="J69" s="64"/>
    </row>
    <row r="70" spans="1:10" s="3" customFormat="1" ht="15">
      <c r="A70" s="28" t="s">
        <v>14</v>
      </c>
      <c r="B70" s="23">
        <v>46206</v>
      </c>
      <c r="C70" s="23">
        <v>46206</v>
      </c>
      <c r="D70" s="23">
        <v>34283.45</v>
      </c>
      <c r="E70" s="18">
        <f t="shared" si="0"/>
        <v>74.19696576202224</v>
      </c>
      <c r="F70" s="18">
        <f t="shared" si="1"/>
        <v>74.19696576202224</v>
      </c>
      <c r="G70" s="64"/>
      <c r="H70" s="64"/>
      <c r="I70" s="64"/>
      <c r="J70" s="64"/>
    </row>
    <row r="71" spans="1:10" s="3" customFormat="1" ht="42.75">
      <c r="A71" s="21" t="s">
        <v>10</v>
      </c>
      <c r="B71" s="16">
        <f>SUM(B72)+B75</f>
        <v>6808.700000000001</v>
      </c>
      <c r="C71" s="16">
        <f>SUM(C72)+C75</f>
        <v>6493.688</v>
      </c>
      <c r="D71" s="16">
        <f>SUM(D72)+D75</f>
        <v>6375.745</v>
      </c>
      <c r="E71" s="17">
        <f t="shared" si="0"/>
        <v>93.64115029300747</v>
      </c>
      <c r="F71" s="17">
        <f t="shared" si="1"/>
        <v>98.18372856841904</v>
      </c>
      <c r="G71" s="64"/>
      <c r="H71" s="64"/>
      <c r="I71" s="64"/>
      <c r="J71" s="64"/>
    </row>
    <row r="72" spans="1:10" s="3" customFormat="1" ht="15">
      <c r="A72" s="28" t="s">
        <v>33</v>
      </c>
      <c r="B72" s="23">
        <v>5036.657</v>
      </c>
      <c r="C72" s="23">
        <v>4721.645</v>
      </c>
      <c r="D72" s="23">
        <v>4675.745</v>
      </c>
      <c r="E72" s="18">
        <f>SUM(D72)/B72*100</f>
        <v>92.83429465218695</v>
      </c>
      <c r="F72" s="18">
        <f>SUM(D72)/C72*100</f>
        <v>99.02788117276923</v>
      </c>
      <c r="G72" s="64"/>
      <c r="H72" s="64"/>
      <c r="I72" s="64"/>
      <c r="J72" s="64"/>
    </row>
    <row r="73" spans="1:10" s="3" customFormat="1" ht="15">
      <c r="A73" s="10" t="s">
        <v>31</v>
      </c>
      <c r="B73" s="9">
        <v>6.072</v>
      </c>
      <c r="C73" s="9">
        <v>5.372</v>
      </c>
      <c r="D73" s="9">
        <v>1.49</v>
      </c>
      <c r="E73" s="18">
        <f t="shared" si="0"/>
        <v>24.538866930171277</v>
      </c>
      <c r="F73" s="18">
        <f t="shared" si="1"/>
        <v>27.736411020104246</v>
      </c>
      <c r="G73" s="64"/>
      <c r="H73" s="64"/>
      <c r="I73" s="64"/>
      <c r="J73" s="64"/>
    </row>
    <row r="74" spans="1:10" s="3" customFormat="1" ht="15">
      <c r="A74" s="10" t="s">
        <v>13</v>
      </c>
      <c r="B74" s="9">
        <f>SUM(B72)-B73</f>
        <v>5030.585</v>
      </c>
      <c r="C74" s="9">
        <f>SUM(C72)-C73</f>
        <v>4716.273</v>
      </c>
      <c r="D74" s="9">
        <f>SUM(D72)-D73</f>
        <v>4674.255</v>
      </c>
      <c r="E74" s="18">
        <f aca="true" t="shared" si="2" ref="E74:E92">SUM(D74)/B74*100</f>
        <v>92.91672837254514</v>
      </c>
      <c r="F74" s="18">
        <f aca="true" t="shared" si="3" ref="F74:F92">SUM(D74)/C74*100</f>
        <v>99.10908465222434</v>
      </c>
      <c r="G74" s="64"/>
      <c r="H74" s="64"/>
      <c r="I74" s="64"/>
      <c r="J74" s="64"/>
    </row>
    <row r="75" spans="1:10" s="3" customFormat="1" ht="15">
      <c r="A75" s="28" t="s">
        <v>14</v>
      </c>
      <c r="B75" s="23">
        <f>1700+72.043</f>
        <v>1772.0430000000001</v>
      </c>
      <c r="C75" s="23">
        <f>1700+72.043</f>
        <v>1772.0430000000001</v>
      </c>
      <c r="D75" s="23">
        <v>1700</v>
      </c>
      <c r="E75" s="18">
        <f t="shared" si="2"/>
        <v>95.93446660154409</v>
      </c>
      <c r="F75" s="18">
        <f t="shared" si="3"/>
        <v>95.93446660154409</v>
      </c>
      <c r="G75" s="64"/>
      <c r="H75" s="64"/>
      <c r="I75" s="64"/>
      <c r="J75" s="64"/>
    </row>
    <row r="76" spans="1:10" s="2" customFormat="1" ht="14.25">
      <c r="A76" s="21" t="s">
        <v>11</v>
      </c>
      <c r="B76" s="16">
        <v>2500</v>
      </c>
      <c r="C76" s="16">
        <v>1700</v>
      </c>
      <c r="D76" s="16"/>
      <c r="E76" s="17">
        <f t="shared" si="2"/>
        <v>0</v>
      </c>
      <c r="F76" s="17"/>
      <c r="G76" s="65"/>
      <c r="H76" s="65"/>
      <c r="I76" s="65"/>
      <c r="J76" s="65"/>
    </row>
    <row r="77" spans="1:10" s="2" customFormat="1" ht="14.25">
      <c r="A77" s="21" t="s">
        <v>12</v>
      </c>
      <c r="B77" s="16">
        <v>18418.4</v>
      </c>
      <c r="C77" s="16">
        <v>16883.6</v>
      </c>
      <c r="D77" s="16">
        <v>16372</v>
      </c>
      <c r="E77" s="17">
        <f t="shared" si="2"/>
        <v>88.88937149806713</v>
      </c>
      <c r="F77" s="17">
        <f t="shared" si="3"/>
        <v>96.96984055533181</v>
      </c>
      <c r="G77" s="65"/>
      <c r="H77" s="65"/>
      <c r="I77" s="65"/>
      <c r="J77" s="65"/>
    </row>
    <row r="78" spans="1:10" s="2" customFormat="1" ht="14.25">
      <c r="A78" s="15" t="s">
        <v>19</v>
      </c>
      <c r="B78" s="16">
        <f>SUM(B79)+B83</f>
        <v>14322.497</v>
      </c>
      <c r="C78" s="16">
        <f>SUM(C79)+C83</f>
        <v>14155.527</v>
      </c>
      <c r="D78" s="16">
        <f>SUM(D79)+D83</f>
        <v>12825.577299999999</v>
      </c>
      <c r="E78" s="17">
        <f t="shared" si="2"/>
        <v>89.54847258826446</v>
      </c>
      <c r="F78" s="17">
        <f t="shared" si="3"/>
        <v>90.60473198913752</v>
      </c>
      <c r="G78" s="65"/>
      <c r="H78" s="65"/>
      <c r="I78" s="65"/>
      <c r="J78" s="65"/>
    </row>
    <row r="79" spans="1:10" s="2" customFormat="1" ht="15">
      <c r="A79" s="28" t="s">
        <v>33</v>
      </c>
      <c r="B79" s="23">
        <f>8440.456-571.501+470.8+119+344.868+89.88+2098.6</f>
        <v>10992.103</v>
      </c>
      <c r="C79" s="23">
        <f>8724.783+2098.6+1.75</f>
        <v>10825.133</v>
      </c>
      <c r="D79" s="23">
        <f>6661.9743+907.331+195.308+181.219+1865.409</f>
        <v>9811.2413</v>
      </c>
      <c r="E79" s="18">
        <f>SUM(D79)/B79*100</f>
        <v>89.25718126913476</v>
      </c>
      <c r="F79" s="18">
        <f>SUM(D79)/C79*100</f>
        <v>90.63390999445457</v>
      </c>
      <c r="G79" s="65"/>
      <c r="H79" s="65"/>
      <c r="I79" s="65"/>
      <c r="J79" s="65"/>
    </row>
    <row r="80" spans="1:10" s="3" customFormat="1" ht="15">
      <c r="A80" s="10" t="s">
        <v>1</v>
      </c>
      <c r="B80" s="9">
        <f>98.3+1977.142+251.502+1034.435</f>
        <v>3361.379</v>
      </c>
      <c r="C80" s="9">
        <f>98.3+2228.644+1034.435</f>
        <v>3361.379</v>
      </c>
      <c r="D80" s="9">
        <f>86.52+3219.436</f>
        <v>3305.956</v>
      </c>
      <c r="E80" s="18">
        <f t="shared" si="2"/>
        <v>98.35118265449985</v>
      </c>
      <c r="F80" s="18">
        <f t="shared" si="3"/>
        <v>98.35118265449985</v>
      </c>
      <c r="G80" s="64"/>
      <c r="H80" s="64"/>
      <c r="I80" s="64"/>
      <c r="J80" s="64"/>
    </row>
    <row r="81" spans="1:10" s="3" customFormat="1" ht="15">
      <c r="A81" s="10" t="s">
        <v>29</v>
      </c>
      <c r="B81" s="9">
        <f>33.7+716.409+91.083+358.908</f>
        <v>1200.1</v>
      </c>
      <c r="C81" s="9">
        <f>33.7+713.371+86.7+366.329</f>
        <v>1200.1000000000001</v>
      </c>
      <c r="D81" s="9">
        <f>30.023+1132.218</f>
        <v>1162.241</v>
      </c>
      <c r="E81" s="18">
        <f t="shared" si="2"/>
        <v>96.84534622114825</v>
      </c>
      <c r="F81" s="18">
        <f t="shared" si="3"/>
        <v>96.84534622114822</v>
      </c>
      <c r="G81" s="64"/>
      <c r="H81" s="64"/>
      <c r="I81" s="64"/>
      <c r="J81" s="64"/>
    </row>
    <row r="82" spans="1:10" s="3" customFormat="1" ht="15">
      <c r="A82" s="10" t="s">
        <v>13</v>
      </c>
      <c r="B82" s="9">
        <f>SUM(B79)-B80-B81</f>
        <v>6430.624</v>
      </c>
      <c r="C82" s="9">
        <f>SUM(C79)-C80-C81</f>
        <v>6263.6539999999995</v>
      </c>
      <c r="D82" s="9">
        <f>SUM(D79)-D80-D81</f>
        <v>5343.0443</v>
      </c>
      <c r="E82" s="18">
        <f t="shared" si="2"/>
        <v>83.08749353095438</v>
      </c>
      <c r="F82" s="18">
        <f t="shared" si="3"/>
        <v>85.30235386565094</v>
      </c>
      <c r="G82" s="64"/>
      <c r="H82" s="64"/>
      <c r="I82" s="64"/>
      <c r="J82" s="64"/>
    </row>
    <row r="83" spans="1:10" s="3" customFormat="1" ht="15">
      <c r="A83" s="28" t="s">
        <v>14</v>
      </c>
      <c r="B83" s="23">
        <f>3330.394</f>
        <v>3330.394</v>
      </c>
      <c r="C83" s="23">
        <f>3330.394</f>
        <v>3330.394</v>
      </c>
      <c r="D83" s="23">
        <v>3014.336</v>
      </c>
      <c r="E83" s="18">
        <f t="shared" si="2"/>
        <v>90.50989162243266</v>
      </c>
      <c r="F83" s="18">
        <f t="shared" si="3"/>
        <v>90.50989162243266</v>
      </c>
      <c r="G83" s="64"/>
      <c r="H83" s="64"/>
      <c r="I83" s="64"/>
      <c r="J83" s="64"/>
    </row>
    <row r="84" spans="1:10" s="3" customFormat="1" ht="40.5">
      <c r="A84" s="24" t="s">
        <v>25</v>
      </c>
      <c r="B84" s="16">
        <f>2159.137+16186.092</f>
        <v>18345.229</v>
      </c>
      <c r="C84" s="16">
        <f>2159.137+16186.092</f>
        <v>18345.229</v>
      </c>
      <c r="D84" s="16">
        <f>16186.092+2111.439</f>
        <v>18297.531</v>
      </c>
      <c r="E84" s="17">
        <f t="shared" si="2"/>
        <v>99.73999779452194</v>
      </c>
      <c r="F84" s="17">
        <f t="shared" si="3"/>
        <v>99.73999779452194</v>
      </c>
      <c r="G84" s="64"/>
      <c r="H84" s="64"/>
      <c r="I84" s="64"/>
      <c r="J84" s="64"/>
    </row>
    <row r="85" spans="1:13" s="7" customFormat="1" ht="15.75">
      <c r="A85" s="25" t="s">
        <v>27</v>
      </c>
      <c r="B85" s="26">
        <f>B5+B14+B23+B36+B43+B50+B57+B64+B66+B69+B71+B76+B77+B78+B84</f>
        <v>2529553.2449999996</v>
      </c>
      <c r="C85" s="26">
        <f>C5+C14+C23+C36+C43+C50+C57+C64+C66+C69+C71+C76+C77+C78+C84</f>
        <v>2233251.85878</v>
      </c>
      <c r="D85" s="26">
        <f>D5+D14+D23+D36+D43+D50+D57+D64+D66+D69+D71+D76+D77+D78+D84</f>
        <v>2029663.1949000002</v>
      </c>
      <c r="E85" s="17">
        <f t="shared" si="2"/>
        <v>80.23801036455355</v>
      </c>
      <c r="F85" s="17">
        <f t="shared" si="3"/>
        <v>90.88375710605172</v>
      </c>
      <c r="G85" s="67"/>
      <c r="H85" s="73"/>
      <c r="I85" s="67"/>
      <c r="J85" s="73"/>
      <c r="K85" s="5"/>
      <c r="L85" s="6"/>
      <c r="M85" s="6"/>
    </row>
    <row r="86" spans="1:13" s="7" customFormat="1" ht="15.75">
      <c r="A86" s="15" t="s">
        <v>33</v>
      </c>
      <c r="B86" s="26">
        <f>B6+B15+B24+B37+B44+B51+B58+B67+B72+B79+B77</f>
        <v>2094851.814</v>
      </c>
      <c r="C86" s="26">
        <f>C6+C15+C24+C37+C44+C51+C58+C67+C72+C79+C77</f>
        <v>1805061.7547799998</v>
      </c>
      <c r="D86" s="26">
        <f>D6+D15+D24+D37+D44+D51+D58+D67+D72+D79+D77</f>
        <v>1690682.7679</v>
      </c>
      <c r="E86" s="17">
        <f>SUM(D86)/B86*100</f>
        <v>80.7065567407242</v>
      </c>
      <c r="F86" s="17">
        <f>SUM(D86)/C86*100</f>
        <v>93.66343081741599</v>
      </c>
      <c r="G86" s="67"/>
      <c r="H86" s="73"/>
      <c r="I86" s="67"/>
      <c r="J86" s="73"/>
      <c r="K86" s="5"/>
      <c r="L86" s="6"/>
      <c r="M86" s="6"/>
    </row>
    <row r="87" spans="1:10" s="4" customFormat="1" ht="15">
      <c r="A87" s="27" t="s">
        <v>1</v>
      </c>
      <c r="B87" s="20">
        <f aca="true" t="shared" si="4" ref="B87:D88">B7+B16+B25+B38+B45+B52+B59+B80</f>
        <v>562057.5809999999</v>
      </c>
      <c r="C87" s="20">
        <f t="shared" si="4"/>
        <v>513653.785</v>
      </c>
      <c r="D87" s="20">
        <f t="shared" si="4"/>
        <v>502172.646</v>
      </c>
      <c r="E87" s="17">
        <f t="shared" si="2"/>
        <v>89.34540925620931</v>
      </c>
      <c r="F87" s="17">
        <f t="shared" si="3"/>
        <v>97.76480981250825</v>
      </c>
      <c r="G87" s="68"/>
      <c r="H87" s="68"/>
      <c r="I87" s="68"/>
      <c r="J87" s="68"/>
    </row>
    <row r="88" spans="1:6" ht="15">
      <c r="A88" s="27" t="s">
        <v>30</v>
      </c>
      <c r="B88" s="20">
        <f t="shared" si="4"/>
        <v>203508.38700000005</v>
      </c>
      <c r="C88" s="20">
        <f t="shared" si="4"/>
        <v>186366.73399999997</v>
      </c>
      <c r="D88" s="20">
        <f t="shared" si="4"/>
        <v>181847.41499999998</v>
      </c>
      <c r="E88" s="17">
        <f t="shared" si="2"/>
        <v>89.35622638491058</v>
      </c>
      <c r="F88" s="17">
        <f t="shared" si="3"/>
        <v>97.57503986736175</v>
      </c>
    </row>
    <row r="89" spans="1:6" ht="15">
      <c r="A89" s="27" t="s">
        <v>2</v>
      </c>
      <c r="B89" s="20">
        <f>B73+B11+B20+B29+B40+B47+B54+B61+86</f>
        <v>139030.103</v>
      </c>
      <c r="C89" s="20">
        <f>C73+C11+C20+C29+C40+C47+C54+C61+86</f>
        <v>117485.536</v>
      </c>
      <c r="D89" s="20">
        <f>D73+D11+D20+D29+D40+D47+D54+D61+63.055</f>
        <v>97363.321</v>
      </c>
      <c r="E89" s="17">
        <f t="shared" si="2"/>
        <v>70.03038831094011</v>
      </c>
      <c r="F89" s="17">
        <f t="shared" si="3"/>
        <v>82.8726022920813</v>
      </c>
    </row>
    <row r="90" spans="1:6" ht="15">
      <c r="A90" s="27" t="s">
        <v>13</v>
      </c>
      <c r="B90" s="20">
        <f>B86-B87-B88-B89</f>
        <v>1190255.7429999998</v>
      </c>
      <c r="C90" s="20">
        <f>C86-C87-C88-C89</f>
        <v>987555.69978</v>
      </c>
      <c r="D90" s="20">
        <f>D86-D87-D88-D89</f>
        <v>909299.3859000001</v>
      </c>
      <c r="E90" s="17">
        <f t="shared" si="2"/>
        <v>76.3952949815761</v>
      </c>
      <c r="F90" s="17">
        <f t="shared" si="3"/>
        <v>92.07575695250068</v>
      </c>
    </row>
    <row r="91" spans="1:6" ht="15">
      <c r="A91" s="15" t="s">
        <v>14</v>
      </c>
      <c r="B91" s="16">
        <f>B13+B22+B42+B34+B56+B63+B65+B68+B70+B75+B83+B49</f>
        <v>413856.202</v>
      </c>
      <c r="C91" s="16">
        <f>C13+C22+C42+C34+C56+C63+C65+C68+C70+C75+C83+C49</f>
        <v>408144.875</v>
      </c>
      <c r="D91" s="16">
        <f>D13+D22+D42+D34+D56+D63+D65+D68+D70+D75+D83+D49</f>
        <v>320682.896</v>
      </c>
      <c r="E91" s="17">
        <f t="shared" si="2"/>
        <v>77.48655075126796</v>
      </c>
      <c r="F91" s="17">
        <f t="shared" si="3"/>
        <v>78.57084962784354</v>
      </c>
    </row>
    <row r="92" spans="1:6" ht="15">
      <c r="A92" s="15" t="s">
        <v>26</v>
      </c>
      <c r="B92" s="16">
        <f>SUM(B84)</f>
        <v>18345.229</v>
      </c>
      <c r="C92" s="16">
        <f>SUM(C84)</f>
        <v>18345.229</v>
      </c>
      <c r="D92" s="16">
        <f>SUM(D84)</f>
        <v>18297.531</v>
      </c>
      <c r="E92" s="17">
        <f t="shared" si="2"/>
        <v>99.73999779452194</v>
      </c>
      <c r="F92" s="17">
        <f t="shared" si="3"/>
        <v>99.73999779452194</v>
      </c>
    </row>
    <row r="93" spans="1:6" ht="15">
      <c r="A93" s="15" t="s">
        <v>32</v>
      </c>
      <c r="B93" s="16">
        <f>SUM(B76)</f>
        <v>2500</v>
      </c>
      <c r="C93" s="16">
        <f>SUM(C76)</f>
        <v>1700</v>
      </c>
      <c r="D93" s="16"/>
      <c r="E93" s="17"/>
      <c r="F93" s="17"/>
    </row>
    <row r="95" spans="2:4" ht="15">
      <c r="B95" s="58"/>
      <c r="C95" s="58"/>
      <c r="D95" s="69"/>
    </row>
    <row r="96" spans="2:6" ht="15">
      <c r="B96" s="59"/>
      <c r="C96" s="59"/>
      <c r="D96" s="61"/>
      <c r="E96" s="59"/>
      <c r="F96" s="59"/>
    </row>
    <row r="97" spans="2:6" ht="15">
      <c r="B97" s="70"/>
      <c r="C97" s="70"/>
      <c r="D97" s="71"/>
      <c r="E97" s="59"/>
      <c r="F97" s="59"/>
    </row>
    <row r="98" spans="2:6" ht="15">
      <c r="B98" s="72"/>
      <c r="C98" s="72"/>
      <c r="D98" s="72"/>
      <c r="E98" s="59"/>
      <c r="F98" s="59"/>
    </row>
    <row r="99" spans="2:4" ht="15">
      <c r="B99" s="58"/>
      <c r="C99" s="58"/>
      <c r="D99" s="61"/>
    </row>
    <row r="100" spans="2:4" ht="15">
      <c r="B100" s="59"/>
      <c r="C100" s="59"/>
      <c r="D100" s="60"/>
    </row>
    <row r="101" ht="15">
      <c r="D101" s="58"/>
    </row>
    <row r="102" ht="15">
      <c r="B102" s="59"/>
    </row>
    <row r="103" ht="15">
      <c r="D103" s="59"/>
    </row>
  </sheetData>
  <sheetProtection/>
  <mergeCells count="7">
    <mergeCell ref="A3:A4"/>
    <mergeCell ref="B3:B4"/>
    <mergeCell ref="C3:C4"/>
    <mergeCell ref="A1:F1"/>
    <mergeCell ref="F3:F4"/>
    <mergeCell ref="E3:E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zoomScalePageLayoutView="0" workbookViewId="0" topLeftCell="A70">
      <selection activeCell="A97" sqref="A97"/>
    </sheetView>
  </sheetViews>
  <sheetFormatPr defaultColWidth="9.140625" defaultRowHeight="15"/>
  <cols>
    <col min="1" max="1" width="36.140625" style="51" customWidth="1"/>
    <col min="2" max="3" width="17.28125" style="51" customWidth="1"/>
    <col min="4" max="4" width="15.8515625" style="51" customWidth="1"/>
    <col min="5" max="5" width="14.7109375" style="51" customWidth="1"/>
    <col min="6" max="6" width="15.140625" style="51" customWidth="1"/>
    <col min="7" max="16384" width="9.140625" style="51" customWidth="1"/>
  </cols>
  <sheetData>
    <row r="1" spans="1:6" s="29" customFormat="1" ht="34.5" customHeight="1">
      <c r="A1" s="77" t="s">
        <v>71</v>
      </c>
      <c r="B1" s="77"/>
      <c r="C1" s="77"/>
      <c r="D1" s="77"/>
      <c r="E1" s="77"/>
      <c r="F1" s="77"/>
    </row>
    <row r="2" spans="1:6" s="29" customFormat="1" ht="12.75" customHeight="1">
      <c r="A2" s="30"/>
      <c r="B2" s="30"/>
      <c r="C2" s="30"/>
      <c r="D2" s="30"/>
      <c r="E2" s="30"/>
      <c r="F2" s="31"/>
    </row>
    <row r="3" spans="1:6" s="29" customFormat="1" ht="75">
      <c r="A3" s="32"/>
      <c r="B3" s="32" t="s">
        <v>35</v>
      </c>
      <c r="C3" s="32" t="s">
        <v>73</v>
      </c>
      <c r="D3" s="32" t="s">
        <v>76</v>
      </c>
      <c r="E3" s="32" t="s">
        <v>36</v>
      </c>
      <c r="F3" s="32" t="s">
        <v>37</v>
      </c>
    </row>
    <row r="4" spans="1:6" s="29" customFormat="1" ht="15">
      <c r="A4" s="33"/>
      <c r="B4" s="34"/>
      <c r="C4" s="34"/>
      <c r="D4" s="34"/>
      <c r="E4" s="34"/>
      <c r="F4" s="34"/>
    </row>
    <row r="5" spans="1:7" s="37" customFormat="1" ht="14.25">
      <c r="A5" s="35" t="s">
        <v>38</v>
      </c>
      <c r="B5" s="16">
        <f>B6+B13</f>
        <v>597838.184</v>
      </c>
      <c r="C5" s="16">
        <f>C6+C13</f>
        <v>541415.11878</v>
      </c>
      <c r="D5" s="16">
        <f>D6+D13</f>
        <v>504054.605</v>
      </c>
      <c r="E5" s="17">
        <f>SUM(D5)/B5*100</f>
        <v>84.31288239695309</v>
      </c>
      <c r="F5" s="17">
        <f>SUM(D5)/C5*100</f>
        <v>93.09946979977461</v>
      </c>
      <c r="G5" s="36"/>
    </row>
    <row r="6" spans="1:6" s="39" customFormat="1" ht="15">
      <c r="A6" s="38" t="s">
        <v>39</v>
      </c>
      <c r="B6" s="53">
        <f>562310.395+15</f>
        <v>562325.395</v>
      </c>
      <c r="C6" s="23">
        <v>506364.32978</v>
      </c>
      <c r="D6" s="23">
        <f>477194.52+2.327</f>
        <v>477196.847</v>
      </c>
      <c r="E6" s="18">
        <f>SUM(D6)/B6*100</f>
        <v>84.8613367354679</v>
      </c>
      <c r="F6" s="18">
        <f>SUM(D6)/C6*100</f>
        <v>94.23982277885325</v>
      </c>
    </row>
    <row r="7" spans="1:6" s="39" customFormat="1" ht="15">
      <c r="A7" s="40" t="s">
        <v>40</v>
      </c>
      <c r="B7" s="9">
        <f>312527.163</f>
        <v>312527.163</v>
      </c>
      <c r="C7" s="9">
        <v>285779.276</v>
      </c>
      <c r="D7" s="9">
        <v>278050.34</v>
      </c>
      <c r="E7" s="18">
        <f aca="true" t="shared" si="0" ref="E7:E73">SUM(D7)/B7*100</f>
        <v>88.96837552644985</v>
      </c>
      <c r="F7" s="18">
        <f aca="true" t="shared" si="1" ref="F7:F73">SUM(D7)/C7*100</f>
        <v>97.29548758462107</v>
      </c>
    </row>
    <row r="8" spans="1:6" s="39" customFormat="1" ht="15">
      <c r="A8" s="40" t="s">
        <v>41</v>
      </c>
      <c r="B8" s="9">
        <v>113569.19</v>
      </c>
      <c r="C8" s="9">
        <v>103994.549</v>
      </c>
      <c r="D8" s="9">
        <v>101631.48</v>
      </c>
      <c r="E8" s="18">
        <f t="shared" si="0"/>
        <v>89.48860161809729</v>
      </c>
      <c r="F8" s="18">
        <f t="shared" si="1"/>
        <v>97.72769917007861</v>
      </c>
    </row>
    <row r="9" spans="1:6" s="39" customFormat="1" ht="15">
      <c r="A9" s="40" t="s">
        <v>42</v>
      </c>
      <c r="B9" s="9">
        <v>73.087</v>
      </c>
      <c r="C9" s="9">
        <v>73.087</v>
      </c>
      <c r="D9" s="9">
        <v>72.45466</v>
      </c>
      <c r="E9" s="18">
        <f t="shared" si="0"/>
        <v>99.13481193645929</v>
      </c>
      <c r="F9" s="18"/>
    </row>
    <row r="10" spans="1:6" s="39" customFormat="1" ht="15">
      <c r="A10" s="40" t="s">
        <v>43</v>
      </c>
      <c r="B10" s="9">
        <v>33349.211</v>
      </c>
      <c r="C10" s="9">
        <v>28481.877</v>
      </c>
      <c r="D10" s="9">
        <v>24994.436</v>
      </c>
      <c r="E10" s="18">
        <f t="shared" si="0"/>
        <v>74.94760820578334</v>
      </c>
      <c r="F10" s="18">
        <f t="shared" si="1"/>
        <v>87.75557874925167</v>
      </c>
    </row>
    <row r="11" spans="1:6" s="39" customFormat="1" ht="30">
      <c r="A11" s="40" t="s">
        <v>44</v>
      </c>
      <c r="B11" s="9">
        <v>78527.174</v>
      </c>
      <c r="C11" s="9">
        <v>64475.829</v>
      </c>
      <c r="D11" s="9">
        <f>52883.956+2.327</f>
        <v>52886.282999999996</v>
      </c>
      <c r="E11" s="18">
        <f t="shared" si="0"/>
        <v>67.34774767267187</v>
      </c>
      <c r="F11" s="18">
        <f t="shared" si="1"/>
        <v>82.02497559201603</v>
      </c>
    </row>
    <row r="12" spans="1:6" s="39" customFormat="1" ht="15">
      <c r="A12" s="40" t="s">
        <v>45</v>
      </c>
      <c r="B12" s="9">
        <f>SUM(B6)-B7-B8-B9-B10-B11</f>
        <v>24279.570000000007</v>
      </c>
      <c r="C12" s="9">
        <f>SUM(C6)-C7-C8-C9-C10-C11</f>
        <v>23559.711779999954</v>
      </c>
      <c r="D12" s="9">
        <f>SUM(D6)-D7-D8-D9-D10-D11</f>
        <v>19561.853339999987</v>
      </c>
      <c r="E12" s="18">
        <f t="shared" si="0"/>
        <v>80.56919187613282</v>
      </c>
      <c r="F12" s="18">
        <f t="shared" si="1"/>
        <v>83.03095353062093</v>
      </c>
    </row>
    <row r="13" spans="1:6" s="39" customFormat="1" ht="15">
      <c r="A13" s="38" t="s">
        <v>46</v>
      </c>
      <c r="B13" s="56">
        <f>16516.755+17001.334+5+615.08+1374.62</f>
        <v>35512.789000000004</v>
      </c>
      <c r="C13" s="23">
        <v>35050.789</v>
      </c>
      <c r="D13" s="23">
        <v>26857.758</v>
      </c>
      <c r="E13" s="18">
        <f t="shared" si="0"/>
        <v>75.628410936691</v>
      </c>
      <c r="F13" s="18">
        <f t="shared" si="1"/>
        <v>76.62525941998054</v>
      </c>
    </row>
    <row r="14" spans="1:6" s="37" customFormat="1" ht="14.25">
      <c r="A14" s="35" t="s">
        <v>47</v>
      </c>
      <c r="B14" s="16">
        <f>B15+B22</f>
        <v>374317.85</v>
      </c>
      <c r="C14" s="16">
        <f>C15+C22</f>
        <v>345327.91699999996</v>
      </c>
      <c r="D14" s="16">
        <f>D15+D22</f>
        <v>327138.39199999993</v>
      </c>
      <c r="E14" s="17">
        <f t="shared" si="0"/>
        <v>87.39588347176068</v>
      </c>
      <c r="F14" s="17">
        <f t="shared" si="1"/>
        <v>94.73268041633598</v>
      </c>
    </row>
    <row r="15" spans="1:6" s="39" customFormat="1" ht="15">
      <c r="A15" s="38" t="s">
        <v>48</v>
      </c>
      <c r="B15" s="23">
        <f>328964.077+25068</f>
        <v>354032.077</v>
      </c>
      <c r="C15" s="23">
        <f>302052.821+22989.323</f>
        <v>325042.144</v>
      </c>
      <c r="D15" s="23">
        <f>287144.844+22989.323</f>
        <v>310134.16699999996</v>
      </c>
      <c r="E15" s="18">
        <f>SUM(D15)/B15*100</f>
        <v>87.60058400018933</v>
      </c>
      <c r="F15" s="18">
        <f>SUM(D15)/C15*100</f>
        <v>95.41352489971268</v>
      </c>
    </row>
    <row r="16" spans="1:6" s="39" customFormat="1" ht="15">
      <c r="A16" s="40" t="s">
        <v>40</v>
      </c>
      <c r="B16" s="9">
        <v>139154.262</v>
      </c>
      <c r="C16" s="9">
        <v>127624.526</v>
      </c>
      <c r="D16" s="9">
        <v>125370.512</v>
      </c>
      <c r="E16" s="18">
        <f t="shared" si="0"/>
        <v>90.09462606326784</v>
      </c>
      <c r="F16" s="18">
        <f t="shared" si="1"/>
        <v>98.23387081570827</v>
      </c>
    </row>
    <row r="17" spans="1:6" s="39" customFormat="1" ht="15">
      <c r="A17" s="40" t="s">
        <v>41</v>
      </c>
      <c r="B17" s="9">
        <v>50003.977</v>
      </c>
      <c r="C17" s="9">
        <v>45970.851</v>
      </c>
      <c r="D17" s="9">
        <v>44538.801</v>
      </c>
      <c r="E17" s="18">
        <f t="shared" si="0"/>
        <v>89.07051733105149</v>
      </c>
      <c r="F17" s="18">
        <f t="shared" si="1"/>
        <v>96.88487385191107</v>
      </c>
    </row>
    <row r="18" spans="1:6" s="39" customFormat="1" ht="15">
      <c r="A18" s="40" t="s">
        <v>42</v>
      </c>
      <c r="B18" s="56">
        <v>11600.87</v>
      </c>
      <c r="C18" s="9">
        <v>10820.22</v>
      </c>
      <c r="D18" s="9">
        <v>10560.827</v>
      </c>
      <c r="E18" s="18">
        <f t="shared" si="0"/>
        <v>91.034784460131</v>
      </c>
      <c r="F18" s="18">
        <f t="shared" si="1"/>
        <v>97.60270123897665</v>
      </c>
    </row>
    <row r="19" spans="1:6" s="39" customFormat="1" ht="15">
      <c r="A19" s="40" t="s">
        <v>43</v>
      </c>
      <c r="B19" s="9">
        <v>4056.884</v>
      </c>
      <c r="C19" s="9">
        <v>3736</v>
      </c>
      <c r="D19" s="9">
        <v>3663.778</v>
      </c>
      <c r="E19" s="18">
        <f t="shared" si="0"/>
        <v>90.31014936586799</v>
      </c>
      <c r="F19" s="18">
        <f t="shared" si="1"/>
        <v>98.06686295503212</v>
      </c>
    </row>
    <row r="20" spans="1:6" s="39" customFormat="1" ht="30">
      <c r="A20" s="40" t="s">
        <v>44</v>
      </c>
      <c r="B20" s="9">
        <v>30224.41</v>
      </c>
      <c r="C20" s="9">
        <v>27198.729</v>
      </c>
      <c r="D20" s="9">
        <v>21506.064</v>
      </c>
      <c r="E20" s="18">
        <f t="shared" si="0"/>
        <v>71.15461972624114</v>
      </c>
      <c r="F20" s="18">
        <f t="shared" si="1"/>
        <v>79.07010654799348</v>
      </c>
    </row>
    <row r="21" spans="1:6" s="39" customFormat="1" ht="15">
      <c r="A21" s="40" t="s">
        <v>45</v>
      </c>
      <c r="B21" s="9">
        <f>SUM(B15)-B16-B17-B18-B19-B20</f>
        <v>118991.674</v>
      </c>
      <c r="C21" s="9">
        <f>SUM(C15)-C16-C17-C18-C19-C20</f>
        <v>109691.81799999997</v>
      </c>
      <c r="D21" s="9">
        <f>SUM(D15)-D16-D17-D18-D19-D20</f>
        <v>104494.18499999995</v>
      </c>
      <c r="E21" s="18">
        <f t="shared" si="0"/>
        <v>87.81638369084543</v>
      </c>
      <c r="F21" s="18">
        <f t="shared" si="1"/>
        <v>95.26160374149326</v>
      </c>
    </row>
    <row r="22" spans="1:6" s="39" customFormat="1" ht="15">
      <c r="A22" s="38" t="s">
        <v>46</v>
      </c>
      <c r="B22" s="23">
        <f>11416.945+8868.828</f>
        <v>20285.773</v>
      </c>
      <c r="C22" s="23">
        <f>8868.828+11416.945</f>
        <v>20285.773</v>
      </c>
      <c r="D22" s="23">
        <v>17004.225</v>
      </c>
      <c r="E22" s="18">
        <f t="shared" si="0"/>
        <v>83.82340175057661</v>
      </c>
      <c r="F22" s="18">
        <f t="shared" si="1"/>
        <v>83.82340175057661</v>
      </c>
    </row>
    <row r="23" spans="1:6" s="37" customFormat="1" ht="28.5">
      <c r="A23" s="35" t="s">
        <v>64</v>
      </c>
      <c r="B23" s="16">
        <f>B24+B34</f>
        <v>700089.562</v>
      </c>
      <c r="C23" s="16">
        <f>C24+C34</f>
        <v>531347.091</v>
      </c>
      <c r="D23" s="16">
        <f>D24+D34</f>
        <v>509841.498</v>
      </c>
      <c r="E23" s="17">
        <f t="shared" si="0"/>
        <v>72.82518204435107</v>
      </c>
      <c r="F23" s="17">
        <f t="shared" si="1"/>
        <v>95.95262807225946</v>
      </c>
    </row>
    <row r="24" spans="1:6" s="39" customFormat="1" ht="15">
      <c r="A24" s="38" t="s">
        <v>48</v>
      </c>
      <c r="B24" s="23">
        <v>696905.234</v>
      </c>
      <c r="C24" s="23">
        <v>528243.755</v>
      </c>
      <c r="D24" s="23">
        <v>507714.602</v>
      </c>
      <c r="E24" s="18">
        <f>SUM(D24)/B24*100</f>
        <v>72.85274628888781</v>
      </c>
      <c r="F24" s="18">
        <f>SUM(D24)/C24*100</f>
        <v>96.11369698066757</v>
      </c>
    </row>
    <row r="25" spans="1:6" s="39" customFormat="1" ht="15">
      <c r="A25" s="40" t="s">
        <v>40</v>
      </c>
      <c r="B25" s="9">
        <v>11580.045</v>
      </c>
      <c r="C25" s="9">
        <v>10335.523</v>
      </c>
      <c r="D25" s="9">
        <v>10282.459</v>
      </c>
      <c r="E25" s="18">
        <f t="shared" si="0"/>
        <v>88.7946376719607</v>
      </c>
      <c r="F25" s="18">
        <f t="shared" si="1"/>
        <v>99.48658621339241</v>
      </c>
    </row>
    <row r="26" spans="1:6" s="39" customFormat="1" ht="15">
      <c r="A26" s="40" t="s">
        <v>41</v>
      </c>
      <c r="B26" s="9">
        <v>4160.428</v>
      </c>
      <c r="C26" s="9">
        <v>3726.599</v>
      </c>
      <c r="D26" s="9">
        <v>3695.987</v>
      </c>
      <c r="E26" s="18">
        <f t="shared" si="0"/>
        <v>88.83670141629659</v>
      </c>
      <c r="F26" s="18">
        <f t="shared" si="1"/>
        <v>99.17855395764342</v>
      </c>
    </row>
    <row r="27" spans="1:6" s="39" customFormat="1" ht="15">
      <c r="A27" s="40" t="s">
        <v>42</v>
      </c>
      <c r="B27" s="9">
        <v>77.62</v>
      </c>
      <c r="C27" s="9">
        <v>76.38</v>
      </c>
      <c r="D27" s="9">
        <v>76.38</v>
      </c>
      <c r="E27" s="18">
        <f t="shared" si="0"/>
        <v>98.4024735892811</v>
      </c>
      <c r="F27" s="18">
        <f t="shared" si="1"/>
        <v>100</v>
      </c>
    </row>
    <row r="28" spans="1:6" s="39" customFormat="1" ht="15">
      <c r="A28" s="40" t="s">
        <v>43</v>
      </c>
      <c r="B28" s="9">
        <v>138.829</v>
      </c>
      <c r="C28" s="9">
        <v>132.1</v>
      </c>
      <c r="D28" s="9">
        <v>132.1</v>
      </c>
      <c r="E28" s="18">
        <f t="shared" si="0"/>
        <v>95.15302998653019</v>
      </c>
      <c r="F28" s="18">
        <f t="shared" si="1"/>
        <v>100</v>
      </c>
    </row>
    <row r="29" spans="1:6" s="39" customFormat="1" ht="30">
      <c r="A29" s="40" t="s">
        <v>44</v>
      </c>
      <c r="B29" s="9">
        <v>1150.295</v>
      </c>
      <c r="C29" s="9">
        <v>930.457</v>
      </c>
      <c r="D29" s="9">
        <v>841.334</v>
      </c>
      <c r="E29" s="18">
        <f t="shared" si="0"/>
        <v>73.14071607718019</v>
      </c>
      <c r="F29" s="18">
        <f t="shared" si="1"/>
        <v>90.42158853122713</v>
      </c>
    </row>
    <row r="30" spans="1:6" s="39" customFormat="1" ht="15">
      <c r="A30" s="40" t="s">
        <v>45</v>
      </c>
      <c r="B30" s="9">
        <f>SUM(B24)-B25-B26-B27-B28-B29</f>
        <v>679798.017</v>
      </c>
      <c r="C30" s="9">
        <f>SUM(C24)-C25-C26-C27-C28-C29</f>
        <v>513042.69600000005</v>
      </c>
      <c r="D30" s="9">
        <f>SUM(D24)-D25-D26-D27-D28-D29</f>
        <v>492686.34200000006</v>
      </c>
      <c r="E30" s="18">
        <f t="shared" si="0"/>
        <v>72.47540146913963</v>
      </c>
      <c r="F30" s="18">
        <f t="shared" si="1"/>
        <v>96.03223003490533</v>
      </c>
    </row>
    <row r="31" spans="1:6" s="39" customFormat="1" ht="15">
      <c r="A31" s="40" t="s">
        <v>49</v>
      </c>
      <c r="B31" s="9">
        <f>SUM(B32:B33)</f>
        <v>664987.23</v>
      </c>
      <c r="C31" s="9">
        <f>SUM(C32:C33)</f>
        <v>499029.309</v>
      </c>
      <c r="D31" s="9">
        <f>SUM(D32:D33)</f>
        <v>479908.004</v>
      </c>
      <c r="E31" s="18">
        <f>SUM(D31)/B31*100</f>
        <v>72.1680029855611</v>
      </c>
      <c r="F31" s="18">
        <f>SUM(D31)/C31*100</f>
        <v>96.16830020699246</v>
      </c>
    </row>
    <row r="32" spans="1:6" s="39" customFormat="1" ht="30">
      <c r="A32" s="41" t="s">
        <v>70</v>
      </c>
      <c r="B32" s="9">
        <v>431369.7</v>
      </c>
      <c r="C32" s="9">
        <v>390326.551</v>
      </c>
      <c r="D32" s="9">
        <v>375276.585</v>
      </c>
      <c r="E32" s="18">
        <f>SUM(D32)/B32*100</f>
        <v>86.99651018604227</v>
      </c>
      <c r="F32" s="18">
        <f>SUM(D32)/C32*100</f>
        <v>96.14426280727186</v>
      </c>
    </row>
    <row r="33" spans="1:6" s="39" customFormat="1" ht="15">
      <c r="A33" s="41" t="s">
        <v>65</v>
      </c>
      <c r="B33" s="9">
        <v>233617.53</v>
      </c>
      <c r="C33" s="9">
        <v>108702.758</v>
      </c>
      <c r="D33" s="9">
        <v>104631.419</v>
      </c>
      <c r="E33" s="18">
        <f>SUM(D33)/B33*100</f>
        <v>44.78748619592031</v>
      </c>
      <c r="F33" s="18">
        <f>SUM(D33)/C33*100</f>
        <v>96.25461296943357</v>
      </c>
    </row>
    <row r="34" spans="1:6" s="39" customFormat="1" ht="15">
      <c r="A34" s="38" t="s">
        <v>46</v>
      </c>
      <c r="B34" s="23">
        <v>3184.328</v>
      </c>
      <c r="C34" s="23">
        <v>3103.336</v>
      </c>
      <c r="D34" s="23">
        <v>2126.896</v>
      </c>
      <c r="E34" s="18">
        <f>SUM(D34)/B34*100</f>
        <v>66.7926168409787</v>
      </c>
      <c r="F34" s="18">
        <f>SUM(D34)/C34*100</f>
        <v>68.53579502831792</v>
      </c>
    </row>
    <row r="35" spans="1:6" s="39" customFormat="1" ht="15">
      <c r="A35" s="40" t="s">
        <v>69</v>
      </c>
      <c r="B35" s="9">
        <v>156.528</v>
      </c>
      <c r="C35" s="9">
        <v>75.536</v>
      </c>
      <c r="D35" s="9">
        <v>75.536</v>
      </c>
      <c r="E35" s="18">
        <f>SUM(D35)/B35*100</f>
        <v>48.25718082387816</v>
      </c>
      <c r="F35" s="18">
        <f>SUM(D35)/C35*100</f>
        <v>100</v>
      </c>
    </row>
    <row r="36" spans="1:6" s="37" customFormat="1" ht="14.25">
      <c r="A36" s="35" t="s">
        <v>66</v>
      </c>
      <c r="B36" s="16">
        <f>B37+B42</f>
        <v>96866.24799999999</v>
      </c>
      <c r="C36" s="16">
        <f>C37+C42</f>
        <v>88493.135</v>
      </c>
      <c r="D36" s="16">
        <f>D37+D42</f>
        <v>78177.23</v>
      </c>
      <c r="E36" s="17">
        <f t="shared" si="0"/>
        <v>80.70636740260653</v>
      </c>
      <c r="F36" s="17">
        <f t="shared" si="1"/>
        <v>88.342705905944</v>
      </c>
    </row>
    <row r="37" spans="1:6" s="39" customFormat="1" ht="15">
      <c r="A37" s="38" t="s">
        <v>48</v>
      </c>
      <c r="B37" s="23">
        <v>77949.817</v>
      </c>
      <c r="C37" s="23">
        <v>69776.704</v>
      </c>
      <c r="D37" s="23">
        <f>66556.201+261.81</f>
        <v>66818.011</v>
      </c>
      <c r="E37" s="18">
        <f>SUM(D37)/B37*100</f>
        <v>85.71926602470408</v>
      </c>
      <c r="F37" s="18">
        <f>SUM(D37)/C37*100</f>
        <v>95.75976962167775</v>
      </c>
    </row>
    <row r="38" spans="1:6" s="39" customFormat="1" ht="15">
      <c r="A38" s="40" t="s">
        <v>40</v>
      </c>
      <c r="B38" s="9">
        <v>33097.391</v>
      </c>
      <c r="C38" s="9">
        <v>30186.763</v>
      </c>
      <c r="D38" s="9">
        <v>29762.041</v>
      </c>
      <c r="E38" s="18">
        <f t="shared" si="0"/>
        <v>89.92261958049804</v>
      </c>
      <c r="F38" s="18">
        <f t="shared" si="1"/>
        <v>98.59301906600587</v>
      </c>
    </row>
    <row r="39" spans="1:6" s="39" customFormat="1" ht="15">
      <c r="A39" s="40" t="s">
        <v>41</v>
      </c>
      <c r="B39" s="9">
        <v>12091.034</v>
      </c>
      <c r="C39" s="9">
        <v>11049.933</v>
      </c>
      <c r="D39" s="9">
        <v>10845.982</v>
      </c>
      <c r="E39" s="18">
        <f t="shared" si="0"/>
        <v>89.70268382340171</v>
      </c>
      <c r="F39" s="18">
        <f t="shared" si="1"/>
        <v>98.15427840150704</v>
      </c>
    </row>
    <row r="40" spans="1:6" s="39" customFormat="1" ht="30">
      <c r="A40" s="40" t="s">
        <v>44</v>
      </c>
      <c r="B40" s="9">
        <v>5631.026</v>
      </c>
      <c r="C40" s="9">
        <v>4434.978</v>
      </c>
      <c r="D40" s="9">
        <v>3753.203</v>
      </c>
      <c r="E40" s="18">
        <f t="shared" si="0"/>
        <v>66.65220512212161</v>
      </c>
      <c r="F40" s="18">
        <f t="shared" si="1"/>
        <v>84.62731945908187</v>
      </c>
    </row>
    <row r="41" spans="1:6" s="39" customFormat="1" ht="15">
      <c r="A41" s="40" t="s">
        <v>45</v>
      </c>
      <c r="B41" s="9">
        <f>SUM(B37)-B38-B39-B40</f>
        <v>27130.365999999995</v>
      </c>
      <c r="C41" s="9">
        <f>SUM(C37)-C38-C39-C40</f>
        <v>24105.03</v>
      </c>
      <c r="D41" s="9">
        <f>SUM(D37)-D38-D39-D40</f>
        <v>22456.785</v>
      </c>
      <c r="E41" s="18">
        <f t="shared" si="0"/>
        <v>82.77361610234084</v>
      </c>
      <c r="F41" s="18">
        <f t="shared" si="1"/>
        <v>93.16223626355163</v>
      </c>
    </row>
    <row r="42" spans="1:6" s="39" customFormat="1" ht="15">
      <c r="A42" s="38" t="s">
        <v>46</v>
      </c>
      <c r="B42" s="23">
        <f>8951+9965.431</f>
        <v>18916.431</v>
      </c>
      <c r="C42" s="23">
        <v>18716.431</v>
      </c>
      <c r="D42" s="23">
        <v>11359.219</v>
      </c>
      <c r="E42" s="18">
        <f t="shared" si="0"/>
        <v>60.049482907214355</v>
      </c>
      <c r="F42" s="18">
        <f t="shared" si="1"/>
        <v>60.69115954852716</v>
      </c>
    </row>
    <row r="43" spans="1:6" s="37" customFormat="1" ht="14.25">
      <c r="A43" s="35" t="s">
        <v>67</v>
      </c>
      <c r="B43" s="16">
        <f>B44+B49</f>
        <v>45876.041</v>
      </c>
      <c r="C43" s="16">
        <f>C44+C49</f>
        <v>41854.769</v>
      </c>
      <c r="D43" s="16">
        <f>D44+D49</f>
        <v>38706.776</v>
      </c>
      <c r="E43" s="17">
        <f t="shared" si="0"/>
        <v>84.3725290070257</v>
      </c>
      <c r="F43" s="17">
        <f t="shared" si="1"/>
        <v>92.47877105712851</v>
      </c>
    </row>
    <row r="44" spans="1:6" s="39" customFormat="1" ht="15">
      <c r="A44" s="38" t="s">
        <v>48</v>
      </c>
      <c r="B44" s="23">
        <v>40360.364</v>
      </c>
      <c r="C44" s="23">
        <v>36339.092</v>
      </c>
      <c r="D44" s="23">
        <v>34613.544</v>
      </c>
      <c r="E44" s="18">
        <f>SUM(D44)/B44*100</f>
        <v>85.76122851617492</v>
      </c>
      <c r="F44" s="18">
        <f>SUM(D44)/C44*100</f>
        <v>95.25153793055699</v>
      </c>
    </row>
    <row r="45" spans="1:6" s="39" customFormat="1" ht="15">
      <c r="A45" s="40" t="s">
        <v>40</v>
      </c>
      <c r="B45" s="9">
        <v>20371.66</v>
      </c>
      <c r="C45" s="9">
        <v>18397.533</v>
      </c>
      <c r="D45" s="9">
        <v>17948.621</v>
      </c>
      <c r="E45" s="18">
        <f t="shared" si="0"/>
        <v>88.10583428154602</v>
      </c>
      <c r="F45" s="18">
        <f t="shared" si="1"/>
        <v>97.55993371502582</v>
      </c>
    </row>
    <row r="46" spans="1:6" s="39" customFormat="1" ht="15">
      <c r="A46" s="40" t="s">
        <v>41</v>
      </c>
      <c r="B46" s="9">
        <v>7320.765</v>
      </c>
      <c r="C46" s="9">
        <v>6613.967</v>
      </c>
      <c r="D46" s="9">
        <v>6446.334</v>
      </c>
      <c r="E46" s="18">
        <f t="shared" si="0"/>
        <v>88.05546961280685</v>
      </c>
      <c r="F46" s="18">
        <f t="shared" si="1"/>
        <v>97.4654696644238</v>
      </c>
    </row>
    <row r="47" spans="1:6" s="39" customFormat="1" ht="30">
      <c r="A47" s="40" t="s">
        <v>44</v>
      </c>
      <c r="B47" s="9">
        <v>3303.442</v>
      </c>
      <c r="C47" s="9">
        <v>2684.241</v>
      </c>
      <c r="D47" s="9">
        <v>2142.314</v>
      </c>
      <c r="E47" s="18">
        <f t="shared" si="0"/>
        <v>64.85096453941071</v>
      </c>
      <c r="F47" s="18">
        <f t="shared" si="1"/>
        <v>79.8107919519894</v>
      </c>
    </row>
    <row r="48" spans="1:6" s="39" customFormat="1" ht="15">
      <c r="A48" s="40" t="s">
        <v>45</v>
      </c>
      <c r="B48" s="9">
        <f>SUM(B44)-B45-B46-B47</f>
        <v>9364.497000000003</v>
      </c>
      <c r="C48" s="9">
        <f>SUM(C44)-C45-C46-C47</f>
        <v>8643.350999999997</v>
      </c>
      <c r="D48" s="9">
        <f>SUM(D44)-D45-D46-D47</f>
        <v>8076.275000000003</v>
      </c>
      <c r="E48" s="18">
        <f t="shared" si="0"/>
        <v>86.24355371142732</v>
      </c>
      <c r="F48" s="18">
        <f t="shared" si="1"/>
        <v>93.4391649720115</v>
      </c>
    </row>
    <row r="49" spans="1:6" s="39" customFormat="1" ht="15">
      <c r="A49" s="38" t="s">
        <v>46</v>
      </c>
      <c r="B49" s="23">
        <f>2828.9+2686.777</f>
        <v>5515.677</v>
      </c>
      <c r="C49" s="23">
        <v>5515.677</v>
      </c>
      <c r="D49" s="23">
        <v>4093.232</v>
      </c>
      <c r="E49" s="18">
        <f t="shared" si="0"/>
        <v>74.21087202894586</v>
      </c>
      <c r="F49" s="18">
        <f t="shared" si="1"/>
        <v>74.21087202894586</v>
      </c>
    </row>
    <row r="50" spans="1:6" s="39" customFormat="1" ht="14.25">
      <c r="A50" s="35" t="s">
        <v>50</v>
      </c>
      <c r="B50" s="16">
        <f>B51+B56</f>
        <v>79111.3</v>
      </c>
      <c r="C50" s="16">
        <f>C51+C56</f>
        <v>72260.516</v>
      </c>
      <c r="D50" s="16">
        <f>D51+D56</f>
        <v>68708.925</v>
      </c>
      <c r="E50" s="17">
        <f t="shared" si="0"/>
        <v>86.8509618727034</v>
      </c>
      <c r="F50" s="17">
        <f t="shared" si="1"/>
        <v>95.08501849059589</v>
      </c>
    </row>
    <row r="51" spans="1:6" s="39" customFormat="1" ht="15">
      <c r="A51" s="38" t="s">
        <v>48</v>
      </c>
      <c r="B51" s="23">
        <f>74795.85-89.88</f>
        <v>74705.97</v>
      </c>
      <c r="C51" s="23">
        <v>67855.186</v>
      </c>
      <c r="D51" s="23">
        <v>64955.98</v>
      </c>
      <c r="E51" s="18">
        <f>SUM(D51)/B51*100</f>
        <v>86.94884759544652</v>
      </c>
      <c r="F51" s="18">
        <f>SUM(D51)/C51*100</f>
        <v>95.72736268087158</v>
      </c>
    </row>
    <row r="52" spans="1:6" s="39" customFormat="1" ht="15">
      <c r="A52" s="40" t="s">
        <v>40</v>
      </c>
      <c r="B52" s="9">
        <v>41542.044</v>
      </c>
      <c r="C52" s="9">
        <v>37557.94</v>
      </c>
      <c r="D52" s="9">
        <v>37098.745</v>
      </c>
      <c r="E52" s="18">
        <f t="shared" si="0"/>
        <v>89.30409153675731</v>
      </c>
      <c r="F52" s="18">
        <f t="shared" si="1"/>
        <v>98.77736904633215</v>
      </c>
    </row>
    <row r="53" spans="1:6" s="39" customFormat="1" ht="15">
      <c r="A53" s="40" t="s">
        <v>41</v>
      </c>
      <c r="B53" s="9">
        <v>15008.932</v>
      </c>
      <c r="C53" s="9">
        <v>13661.424</v>
      </c>
      <c r="D53" s="9">
        <v>13400.78</v>
      </c>
      <c r="E53" s="18">
        <f t="shared" si="0"/>
        <v>89.28536687353905</v>
      </c>
      <c r="F53" s="18">
        <f t="shared" si="1"/>
        <v>98.09211689791636</v>
      </c>
    </row>
    <row r="54" spans="1:6" s="39" customFormat="1" ht="30">
      <c r="A54" s="40" t="s">
        <v>44</v>
      </c>
      <c r="B54" s="9">
        <v>4210.676</v>
      </c>
      <c r="C54" s="9">
        <v>3554.652</v>
      </c>
      <c r="D54" s="9">
        <v>2919.663</v>
      </c>
      <c r="E54" s="18">
        <f t="shared" si="0"/>
        <v>69.33953122966477</v>
      </c>
      <c r="F54" s="18">
        <f t="shared" si="1"/>
        <v>82.13639478632507</v>
      </c>
    </row>
    <row r="55" spans="1:6" s="39" customFormat="1" ht="15">
      <c r="A55" s="40" t="s">
        <v>45</v>
      </c>
      <c r="B55" s="9">
        <f>SUM(B51)-B52-B53-B54</f>
        <v>13944.318</v>
      </c>
      <c r="C55" s="9">
        <f>SUM(C51)-C52-C53-C54</f>
        <v>13081.17</v>
      </c>
      <c r="D55" s="9">
        <f>SUM(D51)-D52-D53-D54</f>
        <v>11536.792</v>
      </c>
      <c r="E55" s="18">
        <f t="shared" si="0"/>
        <v>82.73471674986185</v>
      </c>
      <c r="F55" s="18">
        <f t="shared" si="1"/>
        <v>88.19388479776656</v>
      </c>
    </row>
    <row r="56" spans="1:6" s="39" customFormat="1" ht="15">
      <c r="A56" s="38" t="s">
        <v>46</v>
      </c>
      <c r="B56" s="23">
        <f>200+4205.33</f>
        <v>4405.33</v>
      </c>
      <c r="C56" s="23">
        <f>200+4205.33</f>
        <v>4405.33</v>
      </c>
      <c r="D56" s="23">
        <v>3752.945</v>
      </c>
      <c r="E56" s="18">
        <f t="shared" si="0"/>
        <v>85.19100725711809</v>
      </c>
      <c r="F56" s="18">
        <f t="shared" si="1"/>
        <v>85.19100725711809</v>
      </c>
    </row>
    <row r="57" spans="1:6" s="39" customFormat="1" ht="28.5">
      <c r="A57" s="19" t="s">
        <v>51</v>
      </c>
      <c r="B57" s="20">
        <f>B58+B63</f>
        <v>294005.634</v>
      </c>
      <c r="C57" s="20">
        <f>C58+C63</f>
        <v>280974.653</v>
      </c>
      <c r="D57" s="20">
        <f>D58+D63</f>
        <v>224441.9996</v>
      </c>
      <c r="E57" s="17">
        <f t="shared" si="0"/>
        <v>76.339353279196</v>
      </c>
      <c r="F57" s="17">
        <f t="shared" si="1"/>
        <v>79.8798031080761</v>
      </c>
    </row>
    <row r="58" spans="1:6" s="39" customFormat="1" ht="15">
      <c r="A58" s="38" t="s">
        <v>48</v>
      </c>
      <c r="B58" s="23">
        <v>194005.428</v>
      </c>
      <c r="C58" s="23">
        <v>180974.447</v>
      </c>
      <c r="D58" s="23">
        <f>131777.975+459.847+10791.2016</f>
        <v>143029.02360000001</v>
      </c>
      <c r="E58" s="18">
        <f>SUM(D58)/B58*100</f>
        <v>73.7242380661638</v>
      </c>
      <c r="F58" s="18">
        <f>SUM(D58)/C58*100</f>
        <v>79.03271758581477</v>
      </c>
    </row>
    <row r="59" spans="1:6" s="39" customFormat="1" ht="15">
      <c r="A59" s="40" t="s">
        <v>40</v>
      </c>
      <c r="B59" s="9">
        <v>423.637</v>
      </c>
      <c r="C59" s="9">
        <v>410.845</v>
      </c>
      <c r="D59" s="9">
        <v>353.972</v>
      </c>
      <c r="E59" s="18">
        <f t="shared" si="0"/>
        <v>83.55549680504771</v>
      </c>
      <c r="F59" s="18">
        <f t="shared" si="1"/>
        <v>86.15706653360755</v>
      </c>
    </row>
    <row r="60" spans="1:6" s="39" customFormat="1" ht="15">
      <c r="A60" s="40" t="s">
        <v>41</v>
      </c>
      <c r="B60" s="9">
        <v>153.961</v>
      </c>
      <c r="C60" s="9">
        <v>149.311</v>
      </c>
      <c r="D60" s="9">
        <v>125.81</v>
      </c>
      <c r="E60" s="18">
        <f t="shared" si="0"/>
        <v>81.71549937971304</v>
      </c>
      <c r="F60" s="18">
        <f t="shared" si="1"/>
        <v>84.26036929630101</v>
      </c>
    </row>
    <row r="61" spans="1:6" s="39" customFormat="1" ht="30">
      <c r="A61" s="40" t="s">
        <v>44</v>
      </c>
      <c r="B61" s="9">
        <v>15891.008</v>
      </c>
      <c r="C61" s="9">
        <v>14115.278</v>
      </c>
      <c r="D61" s="9">
        <v>13249.915</v>
      </c>
      <c r="E61" s="18">
        <f t="shared" si="0"/>
        <v>83.3799529897663</v>
      </c>
      <c r="F61" s="18">
        <f t="shared" si="1"/>
        <v>93.86931663690932</v>
      </c>
    </row>
    <row r="62" spans="1:6" s="39" customFormat="1" ht="15">
      <c r="A62" s="40" t="s">
        <v>45</v>
      </c>
      <c r="B62" s="9">
        <f>SUM(B58)-B59-B60-B61</f>
        <v>177536.82200000001</v>
      </c>
      <c r="C62" s="9">
        <f>SUM(C58)-C59-C60-C61</f>
        <v>166299.013</v>
      </c>
      <c r="D62" s="9">
        <f>SUM(D58)-D59-D60-D61</f>
        <v>129299.3266</v>
      </c>
      <c r="E62" s="18">
        <f t="shared" si="0"/>
        <v>72.8295826991879</v>
      </c>
      <c r="F62" s="18">
        <f t="shared" si="1"/>
        <v>77.75110884151789</v>
      </c>
    </row>
    <row r="63" spans="1:6" s="39" customFormat="1" ht="15">
      <c r="A63" s="38" t="s">
        <v>46</v>
      </c>
      <c r="B63" s="23">
        <f>61251.718-35861.8+74373.288+237</f>
        <v>100000.206</v>
      </c>
      <c r="C63" s="23">
        <v>100000.206</v>
      </c>
      <c r="D63" s="23">
        <f>81411.621+1.355</f>
        <v>81412.976</v>
      </c>
      <c r="E63" s="18">
        <f t="shared" si="0"/>
        <v>81.41280828961492</v>
      </c>
      <c r="F63" s="18">
        <f t="shared" si="1"/>
        <v>81.41280828961492</v>
      </c>
    </row>
    <row r="64" spans="1:6" s="39" customFormat="1" ht="15">
      <c r="A64" s="19" t="s">
        <v>52</v>
      </c>
      <c r="B64" s="20">
        <f>SUM(B65)</f>
        <v>76063.756</v>
      </c>
      <c r="C64" s="20">
        <f>SUM(C65)</f>
        <v>72801.421</v>
      </c>
      <c r="D64" s="20">
        <f>SUM(D65)</f>
        <v>39900.053</v>
      </c>
      <c r="E64" s="17">
        <f t="shared" si="0"/>
        <v>52.45606462031668</v>
      </c>
      <c r="F64" s="17">
        <f t="shared" si="1"/>
        <v>54.80669532535636</v>
      </c>
    </row>
    <row r="65" spans="1:6" s="39" customFormat="1" ht="15">
      <c r="A65" s="38" t="s">
        <v>46</v>
      </c>
      <c r="B65" s="23">
        <f>19538.959+63761.797-7237</f>
        <v>76063.756</v>
      </c>
      <c r="C65" s="23">
        <v>72801.421</v>
      </c>
      <c r="D65" s="23">
        <f>39137.391+762.662</f>
        <v>39900.053</v>
      </c>
      <c r="E65" s="18">
        <f t="shared" si="0"/>
        <v>52.45606462031668</v>
      </c>
      <c r="F65" s="18">
        <f t="shared" si="1"/>
        <v>54.80669532535636</v>
      </c>
    </row>
    <row r="66" spans="1:6" s="39" customFormat="1" ht="15">
      <c r="A66" s="42" t="s">
        <v>53</v>
      </c>
      <c r="B66" s="20">
        <f>SUM(B67:B68)</f>
        <v>158783.844</v>
      </c>
      <c r="C66" s="20">
        <f>SUM(C67:C68)</f>
        <v>154993.19400000002</v>
      </c>
      <c r="D66" s="20">
        <f>SUM(D67:D68)</f>
        <v>150539.413</v>
      </c>
      <c r="E66" s="17">
        <f t="shared" si="0"/>
        <v>94.80776457332774</v>
      </c>
      <c r="F66" s="17">
        <f t="shared" si="1"/>
        <v>97.12646672730673</v>
      </c>
    </row>
    <row r="67" spans="1:6" s="39" customFormat="1" ht="15">
      <c r="A67" s="38" t="s">
        <v>45</v>
      </c>
      <c r="B67" s="23">
        <v>60120.369</v>
      </c>
      <c r="C67" s="23">
        <v>58035.719</v>
      </c>
      <c r="D67" s="23">
        <v>55361.607</v>
      </c>
      <c r="E67" s="18">
        <f t="shared" si="0"/>
        <v>92.08460946073036</v>
      </c>
      <c r="F67" s="18">
        <f t="shared" si="1"/>
        <v>95.39229969736397</v>
      </c>
    </row>
    <row r="68" spans="1:6" s="39" customFormat="1" ht="15">
      <c r="A68" s="38" t="s">
        <v>46</v>
      </c>
      <c r="B68" s="23">
        <f>40309.086+52354.389+6000</f>
        <v>98663.475</v>
      </c>
      <c r="C68" s="23">
        <v>96957.475</v>
      </c>
      <c r="D68" s="23">
        <v>95177.806</v>
      </c>
      <c r="E68" s="18">
        <f t="shared" si="0"/>
        <v>96.46711308313435</v>
      </c>
      <c r="F68" s="18">
        <f t="shared" si="1"/>
        <v>98.16448499715983</v>
      </c>
    </row>
    <row r="69" spans="1:6" s="39" customFormat="1" ht="57">
      <c r="A69" s="43" t="s">
        <v>54</v>
      </c>
      <c r="B69" s="20">
        <f>SUM(B70:B70)</f>
        <v>46206</v>
      </c>
      <c r="C69" s="20">
        <f>SUM(C70:C70)</f>
        <v>46206</v>
      </c>
      <c r="D69" s="20">
        <f>SUM(D70:D70)</f>
        <v>34283.45</v>
      </c>
      <c r="E69" s="17">
        <f t="shared" si="0"/>
        <v>74.19696576202224</v>
      </c>
      <c r="F69" s="17">
        <f t="shared" si="1"/>
        <v>74.19696576202224</v>
      </c>
    </row>
    <row r="70" spans="1:6" s="39" customFormat="1" ht="15">
      <c r="A70" s="38" t="s">
        <v>46</v>
      </c>
      <c r="B70" s="23">
        <v>46206</v>
      </c>
      <c r="C70" s="23">
        <v>46206</v>
      </c>
      <c r="D70" s="23">
        <v>34283.45</v>
      </c>
      <c r="E70" s="18">
        <f t="shared" si="0"/>
        <v>74.19696576202224</v>
      </c>
      <c r="F70" s="18">
        <f t="shared" si="1"/>
        <v>74.19696576202224</v>
      </c>
    </row>
    <row r="71" spans="1:6" s="39" customFormat="1" ht="39.75" customHeight="1">
      <c r="A71" s="42" t="s">
        <v>55</v>
      </c>
      <c r="B71" s="16">
        <f>SUM(B72)+B75</f>
        <v>6808.700000000001</v>
      </c>
      <c r="C71" s="16">
        <f>SUM(C72)+C75</f>
        <v>6493.688</v>
      </c>
      <c r="D71" s="16">
        <f>SUM(D72)+D75</f>
        <v>6375.745</v>
      </c>
      <c r="E71" s="17">
        <f t="shared" si="0"/>
        <v>93.64115029300747</v>
      </c>
      <c r="F71" s="17">
        <f t="shared" si="1"/>
        <v>98.18372856841904</v>
      </c>
    </row>
    <row r="72" spans="1:6" s="39" customFormat="1" ht="15">
      <c r="A72" s="38" t="s">
        <v>48</v>
      </c>
      <c r="B72" s="23">
        <v>5036.657</v>
      </c>
      <c r="C72" s="23">
        <v>4721.645</v>
      </c>
      <c r="D72" s="23">
        <v>4675.745</v>
      </c>
      <c r="E72" s="18">
        <f>SUM(D72)/B72*100</f>
        <v>92.83429465218695</v>
      </c>
      <c r="F72" s="18">
        <f>SUM(D72)/C72*100</f>
        <v>99.02788117276923</v>
      </c>
    </row>
    <row r="73" spans="1:6" s="39" customFormat="1" ht="30">
      <c r="A73" s="40" t="s">
        <v>44</v>
      </c>
      <c r="B73" s="9">
        <v>6.072</v>
      </c>
      <c r="C73" s="9">
        <v>5.372</v>
      </c>
      <c r="D73" s="9">
        <v>1.49</v>
      </c>
      <c r="E73" s="18">
        <f t="shared" si="0"/>
        <v>24.538866930171277</v>
      </c>
      <c r="F73" s="18">
        <f t="shared" si="1"/>
        <v>27.736411020104246</v>
      </c>
    </row>
    <row r="74" spans="1:6" s="39" customFormat="1" ht="15">
      <c r="A74" s="40" t="s">
        <v>45</v>
      </c>
      <c r="B74" s="9">
        <f>SUM(B72)-B73</f>
        <v>5030.585</v>
      </c>
      <c r="C74" s="9">
        <f>SUM(C72)-C73</f>
        <v>4716.273</v>
      </c>
      <c r="D74" s="9">
        <f>SUM(D72)-D73</f>
        <v>4674.255</v>
      </c>
      <c r="E74" s="18">
        <f aca="true" t="shared" si="2" ref="E74:E93">SUM(D74)/B74*100</f>
        <v>92.91672837254514</v>
      </c>
      <c r="F74" s="18">
        <f aca="true" t="shared" si="3" ref="F74:F92">SUM(D74)/C74*100</f>
        <v>99.10908465222434</v>
      </c>
    </row>
    <row r="75" spans="1:6" s="39" customFormat="1" ht="15">
      <c r="A75" s="38" t="s">
        <v>46</v>
      </c>
      <c r="B75" s="23">
        <f>1700+72.043</f>
        <v>1772.0430000000001</v>
      </c>
      <c r="C75" s="23">
        <f>1700+72.043</f>
        <v>1772.0430000000001</v>
      </c>
      <c r="D75" s="23">
        <v>1700</v>
      </c>
      <c r="E75" s="18">
        <f t="shared" si="2"/>
        <v>95.93446660154409</v>
      </c>
      <c r="F75" s="18">
        <f t="shared" si="3"/>
        <v>95.93446660154409</v>
      </c>
    </row>
    <row r="76" spans="1:6" s="39" customFormat="1" ht="14.25">
      <c r="A76" s="42" t="s">
        <v>56</v>
      </c>
      <c r="B76" s="16">
        <v>2500</v>
      </c>
      <c r="C76" s="16">
        <v>1700</v>
      </c>
      <c r="D76" s="16"/>
      <c r="E76" s="17">
        <f t="shared" si="2"/>
        <v>0</v>
      </c>
      <c r="F76" s="17"/>
    </row>
    <row r="77" spans="1:6" s="39" customFormat="1" ht="14.25">
      <c r="A77" s="42" t="s">
        <v>57</v>
      </c>
      <c r="B77" s="16">
        <v>18418.4</v>
      </c>
      <c r="C77" s="16">
        <v>16883.6</v>
      </c>
      <c r="D77" s="16">
        <v>16372</v>
      </c>
      <c r="E77" s="17">
        <f t="shared" si="2"/>
        <v>88.88937149806713</v>
      </c>
      <c r="F77" s="17">
        <f t="shared" si="3"/>
        <v>96.96984055533181</v>
      </c>
    </row>
    <row r="78" spans="1:6" s="37" customFormat="1" ht="14.25">
      <c r="A78" s="35" t="s">
        <v>58</v>
      </c>
      <c r="B78" s="16">
        <f>SUM(B79)+B83</f>
        <v>14322.497</v>
      </c>
      <c r="C78" s="16">
        <f>SUM(C79)+C83</f>
        <v>14153.777</v>
      </c>
      <c r="D78" s="16">
        <f>SUM(D79)+D83</f>
        <v>12825.577299999999</v>
      </c>
      <c r="E78" s="17">
        <f t="shared" si="2"/>
        <v>89.54847258826446</v>
      </c>
      <c r="F78" s="17">
        <f t="shared" si="3"/>
        <v>90.6159345311149</v>
      </c>
    </row>
    <row r="79" spans="1:6" s="37" customFormat="1" ht="15">
      <c r="A79" s="38" t="s">
        <v>48</v>
      </c>
      <c r="B79" s="23">
        <f>8440.456-571.501+470.8+119+344.868+89.88+2098.6</f>
        <v>10992.103</v>
      </c>
      <c r="C79" s="23">
        <f>8724.783+2098.6</f>
        <v>10823.383</v>
      </c>
      <c r="D79" s="23">
        <f>6661.9743+907.331+195.308+181.219+1865.409</f>
        <v>9811.2413</v>
      </c>
      <c r="E79" s="18">
        <f>SUM(D79)/B79*100</f>
        <v>89.25718126913476</v>
      </c>
      <c r="F79" s="18">
        <f>SUM(D79)/C79*100</f>
        <v>90.64856431672057</v>
      </c>
    </row>
    <row r="80" spans="1:6" s="39" customFormat="1" ht="15">
      <c r="A80" s="40" t="s">
        <v>40</v>
      </c>
      <c r="B80" s="9">
        <f>98.3+1977.142+251.502+1034.435</f>
        <v>3361.379</v>
      </c>
      <c r="C80" s="9">
        <f>98.3+2228.644+1034.435</f>
        <v>3361.379</v>
      </c>
      <c r="D80" s="9">
        <f>86.52+3219.436</f>
        <v>3305.956</v>
      </c>
      <c r="E80" s="18">
        <f t="shared" si="2"/>
        <v>98.35118265449985</v>
      </c>
      <c r="F80" s="18">
        <f t="shared" si="3"/>
        <v>98.35118265449985</v>
      </c>
    </row>
    <row r="81" spans="1:6" s="39" customFormat="1" ht="15">
      <c r="A81" s="40" t="s">
        <v>41</v>
      </c>
      <c r="B81" s="9">
        <f>33.7+716.409+91.083+358.908</f>
        <v>1200.1</v>
      </c>
      <c r="C81" s="9">
        <f>33.7+713.371+86.7+366.329</f>
        <v>1200.1000000000001</v>
      </c>
      <c r="D81" s="9">
        <f>30.023+1132.218</f>
        <v>1162.241</v>
      </c>
      <c r="E81" s="18">
        <f t="shared" si="2"/>
        <v>96.84534622114825</v>
      </c>
      <c r="F81" s="18">
        <f t="shared" si="3"/>
        <v>96.84534622114822</v>
      </c>
    </row>
    <row r="82" spans="1:6" s="39" customFormat="1" ht="15">
      <c r="A82" s="40" t="s">
        <v>45</v>
      </c>
      <c r="B82" s="9">
        <f>SUM(B79)-B80-B81</f>
        <v>6430.624</v>
      </c>
      <c r="C82" s="9">
        <f>SUM(C79)-C80-C81</f>
        <v>6261.9039999999995</v>
      </c>
      <c r="D82" s="9">
        <f>SUM(D79)-D80-D81</f>
        <v>5343.0443</v>
      </c>
      <c r="E82" s="18">
        <f t="shared" si="2"/>
        <v>83.08749353095438</v>
      </c>
      <c r="F82" s="18">
        <f t="shared" si="3"/>
        <v>85.32619311953681</v>
      </c>
    </row>
    <row r="83" spans="1:6" s="39" customFormat="1" ht="15">
      <c r="A83" s="38" t="s">
        <v>46</v>
      </c>
      <c r="B83" s="23">
        <f>3330.394</f>
        <v>3330.394</v>
      </c>
      <c r="C83" s="23">
        <f>3330.394</f>
        <v>3330.394</v>
      </c>
      <c r="D83" s="23">
        <v>3014.336</v>
      </c>
      <c r="E83" s="18">
        <f t="shared" si="2"/>
        <v>90.50989162243266</v>
      </c>
      <c r="F83" s="18">
        <f t="shared" si="3"/>
        <v>90.50989162243266</v>
      </c>
    </row>
    <row r="84" spans="1:6" s="39" customFormat="1" ht="40.5">
      <c r="A84" s="44" t="s">
        <v>59</v>
      </c>
      <c r="B84" s="16">
        <f>2159.137+16186.092</f>
        <v>18345.229</v>
      </c>
      <c r="C84" s="16">
        <f>2159.137+16186.092</f>
        <v>18345.229</v>
      </c>
      <c r="D84" s="16">
        <f>16186.092+2111.439</f>
        <v>18297.531</v>
      </c>
      <c r="E84" s="17">
        <f t="shared" si="2"/>
        <v>99.73999779452194</v>
      </c>
      <c r="F84" s="17">
        <f t="shared" si="3"/>
        <v>99.73999779452194</v>
      </c>
    </row>
    <row r="85" spans="1:13" s="48" customFormat="1" ht="15.75">
      <c r="A85" s="45" t="s">
        <v>60</v>
      </c>
      <c r="B85" s="26">
        <f>B5+B14+B23+B36+B43+B50+B57+B64+B66+B69+B71+B76+B77+B78+B84</f>
        <v>2529553.2449999996</v>
      </c>
      <c r="C85" s="26">
        <f>C5+C14+C23+C36+C43+C50+C57+C64+C66+C69+C71+C76+C77+C78+C84</f>
        <v>2233250.10878</v>
      </c>
      <c r="D85" s="26">
        <f>D5+D14+D23+D36+D43+D50+D57+D64+D66+D69+D71+D76+D77+D78+D84</f>
        <v>2029663.1949000002</v>
      </c>
      <c r="E85" s="17">
        <f t="shared" si="2"/>
        <v>80.23801036455355</v>
      </c>
      <c r="F85" s="17">
        <f t="shared" si="3"/>
        <v>90.88382832358992</v>
      </c>
      <c r="G85" s="46"/>
      <c r="H85" s="46"/>
      <c r="I85" s="46"/>
      <c r="J85" s="46"/>
      <c r="K85" s="47"/>
      <c r="L85" s="47"/>
      <c r="M85" s="47"/>
    </row>
    <row r="86" spans="1:13" s="48" customFormat="1" ht="15.75">
      <c r="A86" s="35" t="s">
        <v>48</v>
      </c>
      <c r="B86" s="26">
        <f>B6+B15+B24+B37+B44+B51+B58+B67+B72+B79+B77</f>
        <v>2094851.814</v>
      </c>
      <c r="C86" s="26">
        <f>C6+C15+C24+C37+C44+C51+C58+C67+C72+C79+C77</f>
        <v>1805060.0047799998</v>
      </c>
      <c r="D86" s="26">
        <f>D6+D15+D24+D37+D44+D51+D58+D67+D72+D79+D77</f>
        <v>1690682.7679</v>
      </c>
      <c r="E86" s="17">
        <f>SUM(D86)/B86*100</f>
        <v>80.7065567407242</v>
      </c>
      <c r="F86" s="17">
        <f>SUM(D86)/C86*100</f>
        <v>93.6635216238177</v>
      </c>
      <c r="G86" s="46"/>
      <c r="H86" s="46"/>
      <c r="I86" s="46"/>
      <c r="J86" s="46"/>
      <c r="K86" s="47"/>
      <c r="L86" s="47"/>
      <c r="M86" s="47"/>
    </row>
    <row r="87" spans="1:6" s="50" customFormat="1" ht="15">
      <c r="A87" s="49" t="s">
        <v>40</v>
      </c>
      <c r="B87" s="20">
        <f aca="true" t="shared" si="4" ref="B87:D88">B7+B16+B25+B38+B45+B52+B59+B80</f>
        <v>562057.5809999999</v>
      </c>
      <c r="C87" s="20">
        <f t="shared" si="4"/>
        <v>513653.785</v>
      </c>
      <c r="D87" s="20">
        <f t="shared" si="4"/>
        <v>502172.646</v>
      </c>
      <c r="E87" s="17">
        <f t="shared" si="2"/>
        <v>89.34540925620931</v>
      </c>
      <c r="F87" s="17">
        <f t="shared" si="3"/>
        <v>97.76480981250825</v>
      </c>
    </row>
    <row r="88" spans="1:6" ht="15">
      <c r="A88" s="49" t="s">
        <v>41</v>
      </c>
      <c r="B88" s="20">
        <f t="shared" si="4"/>
        <v>203508.38700000005</v>
      </c>
      <c r="C88" s="20">
        <f t="shared" si="4"/>
        <v>186366.73399999997</v>
      </c>
      <c r="D88" s="20">
        <f t="shared" si="4"/>
        <v>181847.41499999998</v>
      </c>
      <c r="E88" s="17">
        <f t="shared" si="2"/>
        <v>89.35622638491058</v>
      </c>
      <c r="F88" s="17">
        <f t="shared" si="3"/>
        <v>97.57503986736175</v>
      </c>
    </row>
    <row r="89" spans="1:6" ht="15">
      <c r="A89" s="49" t="s">
        <v>61</v>
      </c>
      <c r="B89" s="20">
        <f>B73+B11+B20+B29+B40+B47+B54+B61+86</f>
        <v>139030.103</v>
      </c>
      <c r="C89" s="20">
        <f>C73+C11+C20+C29+C40+C47+C54+C61+86</f>
        <v>117485.536</v>
      </c>
      <c r="D89" s="20">
        <f>D73+D11+D20+D29+D40+D47+D54+D61+63.055</f>
        <v>97363.321</v>
      </c>
      <c r="E89" s="17">
        <f t="shared" si="2"/>
        <v>70.03038831094011</v>
      </c>
      <c r="F89" s="17">
        <f t="shared" si="3"/>
        <v>82.8726022920813</v>
      </c>
    </row>
    <row r="90" spans="1:6" ht="15">
      <c r="A90" s="49" t="s">
        <v>45</v>
      </c>
      <c r="B90" s="20">
        <f>B86-B87-B88-B89</f>
        <v>1190255.7429999998</v>
      </c>
      <c r="C90" s="20">
        <f>C86-C87-C88-C89</f>
        <v>987553.94978</v>
      </c>
      <c r="D90" s="20">
        <f>D86-D87-D88-D89</f>
        <v>909299.3859000001</v>
      </c>
      <c r="E90" s="17">
        <f t="shared" si="2"/>
        <v>76.3952949815761</v>
      </c>
      <c r="F90" s="17">
        <f t="shared" si="3"/>
        <v>92.07592011581414</v>
      </c>
    </row>
    <row r="91" spans="1:6" ht="15">
      <c r="A91" s="35" t="s">
        <v>46</v>
      </c>
      <c r="B91" s="16">
        <f>B13+B22+B42+B34+B56+B63+B65+B68+B70+B75+B83+B49</f>
        <v>413856.202</v>
      </c>
      <c r="C91" s="16">
        <f>C13+C22+C42+C34+C56+C63+C65+C68+C70+C75+C83+C49</f>
        <v>408144.875</v>
      </c>
      <c r="D91" s="16">
        <f>D13+D22+D42+D34+D56+D63+D65+D68+D70+D75+D83+D49</f>
        <v>320682.896</v>
      </c>
      <c r="E91" s="17">
        <f t="shared" si="2"/>
        <v>77.48655075126796</v>
      </c>
      <c r="F91" s="17">
        <f t="shared" si="3"/>
        <v>78.57084962784354</v>
      </c>
    </row>
    <row r="92" spans="1:6" ht="15">
      <c r="A92" s="35" t="s">
        <v>62</v>
      </c>
      <c r="B92" s="16">
        <f>SUM(B84)</f>
        <v>18345.229</v>
      </c>
      <c r="C92" s="16">
        <f>SUM(C84)</f>
        <v>18345.229</v>
      </c>
      <c r="D92" s="16">
        <f>SUM(D84)</f>
        <v>18297.531</v>
      </c>
      <c r="E92" s="17">
        <f t="shared" si="2"/>
        <v>99.73999779452194</v>
      </c>
      <c r="F92" s="17">
        <f t="shared" si="3"/>
        <v>99.73999779452194</v>
      </c>
    </row>
    <row r="93" spans="1:6" ht="28.5">
      <c r="A93" s="35" t="s">
        <v>63</v>
      </c>
      <c r="B93" s="16">
        <f>SUM(B76)</f>
        <v>2500</v>
      </c>
      <c r="C93" s="16">
        <f>SUM(C76)</f>
        <v>1700</v>
      </c>
      <c r="D93" s="16"/>
      <c r="E93" s="17">
        <f t="shared" si="2"/>
        <v>0</v>
      </c>
      <c r="F93" s="17"/>
    </row>
    <row r="96" spans="2:4" ht="15">
      <c r="B96" s="52"/>
      <c r="C96" s="52"/>
      <c r="D96" s="52"/>
    </row>
    <row r="97" spans="2:4" ht="15">
      <c r="B97" s="52"/>
      <c r="C97" s="52"/>
      <c r="D97" s="52"/>
    </row>
    <row r="98" spans="2:4" ht="15">
      <c r="B98" s="52"/>
      <c r="C98" s="52"/>
      <c r="D98" s="52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2015-11-16T11:55:21Z</cp:lastPrinted>
  <dcterms:created xsi:type="dcterms:W3CDTF">2015-04-07T07:35:57Z</dcterms:created>
  <dcterms:modified xsi:type="dcterms:W3CDTF">2015-11-30T12:05:09Z</dcterms:modified>
  <cp:category/>
  <cp:version/>
  <cp:contentType/>
  <cp:contentStatus/>
</cp:coreProperties>
</file>