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Будівництво Капітальн ремонти" sheetId="4" r:id="rId1"/>
    <sheet name="Лист1" sheetId="1" state="hidden" r:id="rId2"/>
    <sheet name="Лист2" sheetId="2" state="hidden" r:id="rId3"/>
    <sheet name="Лист3" sheetId="3" state="hidden" r:id="rId4"/>
  </sheets>
  <definedNames>
    <definedName name="_xlnm._FilterDatabase" localSheetId="0" hidden="1">'Будівництво Капітальн ремонти'!$A$2:$G$673</definedName>
    <definedName name="Z_5B3AAF3B_CF5D_4001_894F_6C177BAE65E8_.wvu.FilterData" localSheetId="0" hidden="1">'Будівництво Капітальн ремонти'!$A$2:$G$673</definedName>
    <definedName name="Z_5B3AAF3B_CF5D_4001_894F_6C177BAE65E8_.wvu.PrintTitles" localSheetId="0" hidden="1">'Будівництво Капітальн ремонти'!$2:$3</definedName>
    <definedName name="Z_5B3AAF3B_CF5D_4001_894F_6C177BAE65E8_.wvu.Rows" localSheetId="0" hidden="1">'Будівництво Капітальн ремонти'!$81:$85</definedName>
    <definedName name="Z_C1219C9D_BA43_40B5_A7E9_3D4D253C9550_.wvu.FilterData" localSheetId="0" hidden="1">'Будівництво Капітальн ремонти'!$A$2:$G$673</definedName>
    <definedName name="Z_C1219C9D_BA43_40B5_A7E9_3D4D253C9550_.wvu.PrintTitles" localSheetId="0" hidden="1">'Будівництво Капітальн ремонти'!$2:$3</definedName>
    <definedName name="Z_C1219C9D_BA43_40B5_A7E9_3D4D253C9550_.wvu.Rows" localSheetId="0" hidden="1">'Будівництво Капітальн ремонти'!$81:$85</definedName>
    <definedName name="Z_DFCD6F09_0B42_444A_87C3_52AC3262EE07_.wvu.FilterData" localSheetId="0" hidden="1">'Будівництво Капітальн ремонти'!$A$2:$G$673</definedName>
    <definedName name="Z_DFCD6F09_0B42_444A_87C3_52AC3262EE07_.wvu.PrintTitles" localSheetId="0" hidden="1">'Будівництво Капітальн ремонти'!$2:$3</definedName>
    <definedName name="Z_DFCD6F09_0B42_444A_87C3_52AC3262EE07_.wvu.Rows" localSheetId="0" hidden="1">'Будівництво Капітальн ремонти'!$81:$85</definedName>
    <definedName name="_xlnm.Print_Titles" localSheetId="0">'Будівництво Капітальн ремонти'!$2:$3</definedName>
  </definedNames>
  <calcPr calcId="124519" iterateDelta="1E-4"/>
</workbook>
</file>

<file path=xl/calcChain.xml><?xml version="1.0" encoding="utf-8"?>
<calcChain xmlns="http://schemas.openxmlformats.org/spreadsheetml/2006/main">
  <c r="D6" i="4"/>
  <c r="E6"/>
  <c r="F6"/>
  <c r="F12"/>
  <c r="F15"/>
  <c r="F57" s="1"/>
  <c r="F16"/>
  <c r="F18"/>
  <c r="F19"/>
  <c r="F20"/>
  <c r="F21"/>
  <c r="F22"/>
  <c r="F23"/>
  <c r="F24"/>
  <c r="D26"/>
  <c r="E26"/>
  <c r="F26"/>
  <c r="F27"/>
  <c r="F30"/>
  <c r="F31"/>
  <c r="F32"/>
  <c r="D33"/>
  <c r="D57" s="1"/>
  <c r="E33"/>
  <c r="E57" s="1"/>
  <c r="F33"/>
  <c r="F37"/>
  <c r="D39"/>
  <c r="E39"/>
  <c r="F39"/>
  <c r="F40"/>
  <c r="F41"/>
  <c r="D64"/>
  <c r="E64"/>
  <c r="F64"/>
  <c r="E67"/>
  <c r="D68"/>
  <c r="E68"/>
  <c r="F68"/>
  <c r="D74"/>
  <c r="D86"/>
  <c r="E86"/>
  <c r="F86"/>
  <c r="F93"/>
  <c r="F95" s="1"/>
  <c r="F100" s="1"/>
  <c r="F105" s="1"/>
  <c r="D95"/>
  <c r="E95"/>
  <c r="E100" s="1"/>
  <c r="E105" s="1"/>
  <c r="D96"/>
  <c r="E96"/>
  <c r="D97"/>
  <c r="D98" s="1"/>
  <c r="E97"/>
  <c r="E98"/>
  <c r="F98"/>
  <c r="D104"/>
  <c r="E104"/>
  <c r="F104"/>
  <c r="E177"/>
  <c r="F177"/>
  <c r="F222" s="1"/>
  <c r="F185"/>
  <c r="F200"/>
  <c r="F208"/>
  <c r="F213"/>
  <c r="F221"/>
  <c r="D225"/>
  <c r="D224" s="1"/>
  <c r="D226"/>
  <c r="D227"/>
  <c r="D228"/>
  <c r="D229"/>
  <c r="D230"/>
  <c r="F230"/>
  <c r="D232"/>
  <c r="F233"/>
  <c r="F234"/>
  <c r="F235"/>
  <c r="F236"/>
  <c r="F224" s="1"/>
  <c r="F237"/>
  <c r="F239"/>
  <c r="F240"/>
  <c r="F241"/>
  <c r="D243"/>
  <c r="D256"/>
  <c r="D255" s="1"/>
  <c r="F256"/>
  <c r="F255" s="1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D316"/>
  <c r="F316"/>
  <c r="F317"/>
  <c r="F318"/>
  <c r="F319"/>
  <c r="F320"/>
  <c r="F323"/>
  <c r="F324"/>
  <c r="F325"/>
  <c r="D326"/>
  <c r="F326"/>
  <c r="F329"/>
  <c r="F331"/>
  <c r="F332"/>
  <c r="F330" s="1"/>
  <c r="D333"/>
  <c r="F333"/>
  <c r="D337"/>
  <c r="F337"/>
  <c r="F339"/>
  <c r="D341"/>
  <c r="F341"/>
  <c r="F359"/>
  <c r="E402"/>
  <c r="E417" s="1"/>
  <c r="D417"/>
  <c r="F417"/>
  <c r="D427"/>
  <c r="E427"/>
  <c r="F427"/>
  <c r="E447"/>
  <c r="D444" s="1"/>
  <c r="D461" s="1"/>
  <c r="D493" s="1"/>
  <c r="D451"/>
  <c r="D455"/>
  <c r="D456"/>
  <c r="D457"/>
  <c r="D458"/>
  <c r="F461"/>
  <c r="F493" s="1"/>
  <c r="D472"/>
  <c r="E472"/>
  <c r="F472"/>
  <c r="D485"/>
  <c r="E485"/>
  <c r="F485"/>
  <c r="D488"/>
  <c r="E488"/>
  <c r="F488"/>
  <c r="D492"/>
  <c r="E492"/>
  <c r="F492"/>
  <c r="D529"/>
  <c r="E529"/>
  <c r="F529"/>
  <c r="D574"/>
  <c r="E574"/>
  <c r="F574"/>
  <c r="E577"/>
  <c r="E581"/>
  <c r="D585"/>
  <c r="E586"/>
  <c r="F590"/>
  <c r="E591"/>
  <c r="D595"/>
  <c r="E595"/>
  <c r="F599"/>
  <c r="E600"/>
  <c r="D600" s="1"/>
  <c r="D606"/>
  <c r="E606"/>
  <c r="E611"/>
  <c r="F611"/>
  <c r="D612"/>
  <c r="E612"/>
  <c r="E617"/>
  <c r="F626"/>
  <c r="E622" s="1"/>
  <c r="D622" s="1"/>
  <c r="D627"/>
  <c r="E627"/>
  <c r="F631"/>
  <c r="F636"/>
  <c r="E632" s="1"/>
  <c r="D637"/>
  <c r="E637"/>
  <c r="D647"/>
  <c r="E647"/>
  <c r="E652"/>
  <c r="E657"/>
  <c r="D657" s="1"/>
  <c r="D662"/>
  <c r="E662"/>
  <c r="D669"/>
  <c r="E669" s="1"/>
  <c r="D672"/>
  <c r="E672"/>
  <c r="F672"/>
  <c r="F673" l="1"/>
  <c r="D611"/>
  <c r="D673" s="1"/>
  <c r="D100"/>
  <c r="D105" s="1"/>
  <c r="E667"/>
  <c r="E673" s="1"/>
  <c r="F343"/>
  <c r="D343"/>
  <c r="F667"/>
  <c r="E461"/>
  <c r="E493" s="1"/>
</calcChain>
</file>

<file path=xl/sharedStrings.xml><?xml version="1.0" encoding="utf-8"?>
<sst xmlns="http://schemas.openxmlformats.org/spreadsheetml/2006/main" count="2171" uniqueCount="1120">
  <si>
    <t>Х</t>
  </si>
  <si>
    <t>ВСЬОГО:</t>
  </si>
  <si>
    <t>Разом</t>
  </si>
  <si>
    <t>субвенція</t>
  </si>
  <si>
    <t>ФОП Ваховський</t>
  </si>
  <si>
    <t>перерахунок ПКД</t>
  </si>
  <si>
    <t>Капітальний ремонт, облаштування прибудинкової території житлових будинків по вул.Колодязьній,вул.Потьмокінській м.Миколаєва</t>
  </si>
  <si>
    <t>вул.Колодязьній,вул.Потьмокінській м.Миколаєва</t>
  </si>
  <si>
    <t>облаштування розумної зупинки та скверу по вул.Потьомкінська</t>
  </si>
  <si>
    <t>Потьомкінська</t>
  </si>
  <si>
    <t>ФОП Симонян Сергій Артаваздович</t>
  </si>
  <si>
    <t>Капітальний ремонт</t>
  </si>
  <si>
    <t>авторський нагляд</t>
  </si>
  <si>
    <t>технагляд</t>
  </si>
  <si>
    <t>експертиза ПКД</t>
  </si>
  <si>
    <t>ФОП Чудаков І.В.</t>
  </si>
  <si>
    <t>проектно-кошторисна документація</t>
  </si>
  <si>
    <t xml:space="preserve"> "Капітальний ремонт дорожнього покриття приватного сектору по вул. 9Воєнна від вул. 2Екіпажна до вул. Теслярська у Центральному районі м. Миколаєва" </t>
  </si>
  <si>
    <t xml:space="preserve"> вул. 9Воєнна від вул. 2Екіпажна до вул. Теслярська у Центральному районі м. Миколаєва" </t>
  </si>
  <si>
    <t xml:space="preserve"> "Капітальний ремонт дорожнього покриття приватного сектору по вул. 1 Екіпажна від вул. Гречишникова до вул. 5 Воєнна у Центральному районі м. Миколаєва" </t>
  </si>
  <si>
    <t xml:space="preserve">по вул. 1 Екіпажна від вул. Гречишникова до вул. 5 Воєнна у Центральному районі м. Миколаєва" </t>
  </si>
  <si>
    <t>ФОП "Дейнеко Олена Сергіївна"</t>
  </si>
  <si>
    <t>Капітальний ремонт дорожнього покриття приватного сектору по вул.Шевченка від вул.Мала Морська до вул.Громадянська у Центральному районі м.Миколаїва</t>
  </si>
  <si>
    <t xml:space="preserve"> вул.Шевченка від вул.Мала Морська до вул.Громадянська у Центральному районі м.Миколаїва</t>
  </si>
  <si>
    <t>ФОП Марущенко Аліна Артаваздівна</t>
  </si>
  <si>
    <t>Капітальний ремонт( попередня оплата за матеріали)</t>
  </si>
  <si>
    <t>Капітальний ремонт дороги приватного сектору по пров.2 ПівнічнійЦентральному районі м.Миколаєва</t>
  </si>
  <si>
    <t>пров.2 ПівнічнійЦентральному районі м.Миколаєва</t>
  </si>
  <si>
    <t>УК у м.Миколаїв / 22012500</t>
  </si>
  <si>
    <t>оплата сертифікатів згідно ПКМУ від 13.04.11 №461</t>
  </si>
  <si>
    <t>Капітальний ремонт дороги приватного сектору по вул. Вишнева у Центральному районі м.Миколаєва</t>
  </si>
  <si>
    <t xml:space="preserve"> вул. Вишнева у Центральному районі м.Миколаєва</t>
  </si>
  <si>
    <t>Капітальний ремонт дорожнього покриття по вул. 10 Воєнна від вул. 2 Екіпажна до вул. Константинівська у приватному секторі Центрального району м.Миколаєва</t>
  </si>
  <si>
    <t>вул. 10 Воєнна від вул. 2 Екіпажна до вул. Константинівська у приватному секторі Центрального району м.Миколаєва</t>
  </si>
  <si>
    <t>Капітального ремонту дороги приватного сектору по вул. Цілинна від буд. №35 до вул. Сергія Цвєтка у Центральному районі м. Миколаєва</t>
  </si>
  <si>
    <t>вул. Цілинна від буд. №35 до вул. Сергія Цвєтка у Центральному районі м. Миколаєва</t>
  </si>
  <si>
    <t>Капітальний ремонт дороги приватного сектору по пров.Чумацькому  у Ц.р-ні</t>
  </si>
  <si>
    <t>пров.Чумацькому  у Ц.р-ні</t>
  </si>
  <si>
    <t>Капітальний ремонт дороги приватного сектору по пров.Матроському у Ц.р-ні</t>
  </si>
  <si>
    <t>пров.Матроському у Ц.р-ні</t>
  </si>
  <si>
    <t>Капітальний ремонт дороги приватного сектору по вул. Словянська від буд. №55 до пров. Військового  у Центральному районі м. Миколаєва</t>
  </si>
  <si>
    <t>вул. Словянська від буд. №55 до пров. Військового  у Центральному районі м. Миколаєва</t>
  </si>
  <si>
    <t>ФОП " Літвіненнко Аліна Олегівна"</t>
  </si>
  <si>
    <t>ФОП Царюк Світлана Володимирівна</t>
  </si>
  <si>
    <t>Капітальний ремонт дороги приватного сектору по пров. Рейдовий  у Центральному районі м. Миколаєва</t>
  </si>
  <si>
    <t>пров. Рейдовий у  у Центральному районі м. Миколаєва</t>
  </si>
  <si>
    <t>ФОП Антонян Михайло Сергійович</t>
  </si>
  <si>
    <t>ФОП "Ваховський Максим Олегович"</t>
  </si>
  <si>
    <t>ФОП Дейнеко Іван Вікторович</t>
  </si>
  <si>
    <t>Капітальний ремонт дороги приватного сектору по вул. Західна у Центральному районі м. Миколаєва</t>
  </si>
  <si>
    <t>вул. Західна у Центральному районі м. Миколаєва</t>
  </si>
  <si>
    <t>Капітальний ремонт дороги приватного сектору по вул.Рекордна від буд.1 до вул. Урожайна у Центральному районі м. Миколаєва</t>
  </si>
  <si>
    <t>вул.Рекордна від буд.1 до вул. Урожайна у Центральному районі м. Миколаєва</t>
  </si>
  <si>
    <t>Капітальний ремонт дороги приватного сектору по вул. 6 Воєнна   від вул. 1 Екіпажна до вул. Котельна у Центральному районі м. Миколаєва</t>
  </si>
  <si>
    <t>вул. 6 Воєнна   від вул. 1 Екіпажна до вул. Котельна у Центральному районі м. Миколаєва</t>
  </si>
  <si>
    <t>Капітальний ремонт дороги приватного сектору вул. Майстерська від вул. 3 Воєнна до вул. 6 Воєнна у Центральному районі м. Миколаєва</t>
  </si>
  <si>
    <t>вул. Майстерська від вул. 3 Воєнна до вул. 6 Воєнна у Центральному районі м. Миколаєва</t>
  </si>
  <si>
    <t xml:space="preserve">Капітальний ремонт дорожнього покриття внутрішньоквартального проїзду вздовж будинку №152 по пр. Центральний у Центральному районі м. Миколаєва" </t>
  </si>
  <si>
    <t xml:space="preserve"> вздовж будинку №152 по пр. Центральний у Центральному районі м. Миколаєва" </t>
  </si>
  <si>
    <t>УК у м.Миколаїв / 22012504</t>
  </si>
  <si>
    <t>Капітальний ремонт дорожнього покриття внутришньквартального проїздів по вул.Нікольська,9,9-А у Центральному районі м.Миколаєва</t>
  </si>
  <si>
    <t>вул.Нікольська,9,9-А у Центральному районі м.Миколаєва</t>
  </si>
  <si>
    <t>ТОВ АРХСІТІ</t>
  </si>
  <si>
    <t>відновленню асфальтового покриття прибудинкових територій та внутрішньоквартальних проїздів вул. Безіменна,  99, 101</t>
  </si>
  <si>
    <t>вул. Безіменна,  99, 101</t>
  </si>
  <si>
    <t>ФОП Царюк С.І.</t>
  </si>
  <si>
    <t>відновленню асфальтового покриття прибудинкових територій та внутрішньоквартальних проїздів вул. Пр.Центрральний,139</t>
  </si>
  <si>
    <t>пр.Центральний, 139</t>
  </si>
  <si>
    <t>відновленню асфальтового покриття прибудинкових територій та внутрішньоквартальних проїздів вул. Чкалова, 62</t>
  </si>
  <si>
    <t>вул. Чкалова, 62</t>
  </si>
  <si>
    <t>відновленню асфальтового покриття прибудинкових територій та внутрішньоквартальних проїздів вул. Чкалова, 58, 60</t>
  </si>
  <si>
    <t>вул. Чкалова, 58, 60</t>
  </si>
  <si>
    <t xml:space="preserve">капітальний ремонт дорожнього покриття внутрішньоквартального проїзду вздовж будинків №3, 3-А по вул. Соборній та будинку №65 по вул. Велика Морська у Центральному районі м. Миколаєва" </t>
  </si>
  <si>
    <t xml:space="preserve">вздовж будинків №3, 3-А по вул. Соборній та будинку №65 по вул. Велика Морська у Центральному районі м. Миколаєва" </t>
  </si>
  <si>
    <t xml:space="preserve">ФОП Литвиненко Аліна Олегівна </t>
  </si>
  <si>
    <t>екпертиза ПКД</t>
  </si>
  <si>
    <t>ТОВ АРХСІТІ(41432591)</t>
  </si>
  <si>
    <t>капітальний ремонт асфальтового покриття прибудинкових територій та внутрішньоквартальних проїздів  вул.Чкалова,112</t>
  </si>
  <si>
    <t xml:space="preserve"> вул.Чкалова,112</t>
  </si>
  <si>
    <t>капітальний ремонт асфальтового покриття прибудинкових територій та внутрішньоквартальних проїздів вул. Велика Морська, 5А,17А</t>
  </si>
  <si>
    <t>вул. Велика Морська, 5А</t>
  </si>
  <si>
    <t>Адміністрація Центрального району Миколаївської міської ради</t>
  </si>
  <si>
    <t>ТОВ "Миколаїавтодор"</t>
  </si>
  <si>
    <t>Капремонт доріг</t>
  </si>
  <si>
    <t xml:space="preserve"> "Капітальний  ремонт  провулку 2-й Електронний в Інгульському районі м.Миколаєва"</t>
  </si>
  <si>
    <t>ФОП Ваховський М.О.</t>
  </si>
  <si>
    <t xml:space="preserve">виготовлення ПКД </t>
  </si>
  <si>
    <t xml:space="preserve">пров.Глухий від вул. 8 Слобідська до вул. 10 Слобідська в Інгульському районі м.Миколаєва  </t>
  </si>
  <si>
    <t xml:space="preserve"> вул.Кобера в Інгульському районі м.Миколаєва  </t>
  </si>
  <si>
    <t>ФОП Королюк М.А.</t>
  </si>
  <si>
    <t xml:space="preserve">Ведення технічного нагляду </t>
  </si>
  <si>
    <t xml:space="preserve"> пров. 2-й Електронний в Інгульському районі м.Миколаєва"</t>
  </si>
  <si>
    <t>ТОВ "ПРОЕКТ_КОМПЛЕКТ СТРОЙ"</t>
  </si>
  <si>
    <t xml:space="preserve">Здійснення авторського нагляду </t>
  </si>
  <si>
    <t>пров. 2-й Електронний в Інгульському районі м.Миколаєва"</t>
  </si>
  <si>
    <t xml:space="preserve">Відшкодування вартості експертизи </t>
  </si>
  <si>
    <t>вул.Горохівській в Інгульському районі м.Миколаєва"</t>
  </si>
  <si>
    <t xml:space="preserve"> пров. 1-й Електронний в Інгульському районі м.Миколаєва"</t>
  </si>
  <si>
    <t>ФОП Царюк С.В.</t>
  </si>
  <si>
    <t xml:space="preserve">пров.Шевченка у приватному секторі в Інгульському районі м.Миколаєва   </t>
  </si>
  <si>
    <t xml:space="preserve">Капітальний ремонт асфальтобенного покриття внутрішньоквартальних проїздів </t>
  </si>
  <si>
    <t xml:space="preserve"> вул.Театральна 4А - ул.Передова 52А в Інгульському районі м.Миколаэва</t>
  </si>
  <si>
    <t>ФОП Штангей Л.О.</t>
  </si>
  <si>
    <t xml:space="preserve"> по вул.Театральна 4А - ул.Передова 52А в Інгульському районі м.Миколаэва</t>
  </si>
  <si>
    <t>ТОВ "ВЕРІТАСС-ЮГ"</t>
  </si>
  <si>
    <t xml:space="preserve">Капітальний ремонт дитячого та спортивного майданчиків </t>
  </si>
  <si>
    <t xml:space="preserve">  пр.Миру, 60 в Інгульському районі м.Миколаєва" </t>
  </si>
  <si>
    <t>ТОВ "СИГМА-Т"</t>
  </si>
  <si>
    <t xml:space="preserve">вул.Космонавтів 53 в Інгульському районі м.Миколаєва" </t>
  </si>
  <si>
    <t>вул.Театральна 4А - ул.Передова 52А в Інгульському районі м.Миколаэва"</t>
  </si>
  <si>
    <t xml:space="preserve">пр.Миру 60 в Інгульському районі м.Миколаєва </t>
  </si>
  <si>
    <t xml:space="preserve"> пр.Миру 60 в Інгульському районі м.Миколаєва </t>
  </si>
  <si>
    <t xml:space="preserve">вул.Космонавтів 53 в Інгульському районі м.Миколаєва </t>
  </si>
  <si>
    <t xml:space="preserve">  вул.Космонавтів 53 в Інгульському районі м.Миколаєва" </t>
  </si>
  <si>
    <t xml:space="preserve"> пр.Миру 60 в Інгульському районі м.Миколаєва" </t>
  </si>
  <si>
    <t>ТОВ "ТРИНОЛЛ"</t>
  </si>
  <si>
    <t xml:space="preserve"> вул.6 Слобідській.46.46А у м.Миколаєві (2 Пускова черга)</t>
  </si>
  <si>
    <t>ТОВ "Держдорпроект"</t>
  </si>
  <si>
    <t>капремонт доріг</t>
  </si>
  <si>
    <t xml:space="preserve"> вул.9 Лінія від вул.12 Повздовжня до Херсонського шосе </t>
  </si>
  <si>
    <t xml:space="preserve"> пров. Сонячний</t>
  </si>
  <si>
    <t>по вул.Соколина від буд.2а до пров.Сонячний. від.пров.Сонячного до вул.Буревісників</t>
  </si>
  <si>
    <t>виготовлення ПКД капремонту 4-х доріг</t>
  </si>
  <si>
    <t>пров. Першотравневий. Вул. 2 Лінія. Пров. 5 Інгульс від вул. Кругова до вул. 5 Інгульська. Вул. 5 Інгульська від № 47 до вул. Кругова</t>
  </si>
  <si>
    <t>ТОВ "Будівельна фірма Укрінбуд"</t>
  </si>
  <si>
    <t>пров. Шевченка</t>
  </si>
  <si>
    <t>вул. 5 Інгульська від № 47 до вул. Кругова</t>
  </si>
  <si>
    <t>пров. 5 Інгульський від вул. Кругова до вул. 5 Інгульська</t>
  </si>
  <si>
    <t>вул. 2 Лінія</t>
  </si>
  <si>
    <t>капремонт внутрішньоквартального проїзду</t>
  </si>
  <si>
    <t>пр. Центральний 261. 263. 265</t>
  </si>
  <si>
    <t>ТОВ "Тефітстайл"</t>
  </si>
  <si>
    <t>капремонт зупинки громадського транспорту</t>
  </si>
  <si>
    <t>пр. Богоявленський напротив концерт-холу "Юність"</t>
  </si>
  <si>
    <t>просп. Центральний буд. № 295</t>
  </si>
  <si>
    <t>Херсонське шосе через дорогу вуд буд. Кругова № 95</t>
  </si>
  <si>
    <t>вул. Новозаводська по пр. Миру № 72</t>
  </si>
  <si>
    <t>ФОП Царюк</t>
  </si>
  <si>
    <t>капремонт дорожн. Покриття по пров. Шевченка</t>
  </si>
  <si>
    <t>капремонт дорожн. покриття по пров. Дорожній</t>
  </si>
  <si>
    <t>пров. Дорожній</t>
  </si>
  <si>
    <t>технагляд за капремонтом</t>
  </si>
  <si>
    <t>вул. 6 Слобідська 46. 46А</t>
  </si>
  <si>
    <t>ТОВ "Тринолл"</t>
  </si>
  <si>
    <t>кап ремонт дитячого та спортивного майданчику</t>
  </si>
  <si>
    <t>Адміністрація Інгульського  району Миколаївської міської ради</t>
  </si>
  <si>
    <t>Будівництво інших об’єктів соціальної та виробничої інфраструктури комунальної власності</t>
  </si>
  <si>
    <t>Благоустрій території та улаштування скверу в районі будинків по вул. О.Ольжича (Ленінградська), 1-а, 1-б, 1-в до вул. Айвазовського (нове будівництво), у т.ч. коригування проекту та експертиза</t>
  </si>
  <si>
    <t>ТОВ "ВІТТАР" (ПКД)</t>
  </si>
  <si>
    <t xml:space="preserve">Капітальний ремонт дороги </t>
  </si>
  <si>
    <t>Капітальний ремонт дорожнього покриття по вул. Приозерній від пр. Богоявленського до вул. Академіка Рильського в приватному секторі житлової забудови Корабельного району м. Миколаєва</t>
  </si>
  <si>
    <t xml:space="preserve">вул. Приозерна від пр. Богоявленського до вул. Академіка Рильського </t>
  </si>
  <si>
    <t>Капітальний ремонт дорожнього покриття по вул. Приозерній від Об'їзної дороги до буд. №178 в приватному секторі житлової забудови Корабельного району м. Миколаєва</t>
  </si>
  <si>
    <t xml:space="preserve">вул. Приозерна від Об'їзної дороги до буд. №178 </t>
  </si>
  <si>
    <t>Капітальний ремонт дорожнього покриття по провулку Широкому в приватному секторі житлової забудови Корабельного району м. Миколаєва</t>
  </si>
  <si>
    <t>пров. Широкий</t>
  </si>
  <si>
    <t>ТОВ "Кайсер"</t>
  </si>
  <si>
    <t>Капітальний ремонт дорожнього одягу дороги по вулиці Ударна від вул. Родинної до вул. Гагаріна в м. Миколаєві</t>
  </si>
  <si>
    <t>вул. Ударна від вул. Родинної до вул. Гагаріна</t>
  </si>
  <si>
    <t>ФОП Гурко А.М.</t>
  </si>
  <si>
    <t>Капітальний ремонт дорожнього покриття приватного сектору по пров. Шосейному від пр. Богоявленського до пров. 1-й Шосейний у Корабельному районі м. Миколаєва</t>
  </si>
  <si>
    <t xml:space="preserve">пров. Шосейний від пр. Богоявленського до пров. 1-й Шосейний </t>
  </si>
  <si>
    <t>ФОП Ваховський М.О. (ПКД)</t>
  </si>
  <si>
    <t>Капітальний ремонт дорожнього покриття приватного сектору по пров. М.Рибальченко від вул. Кобзарської до №60 по вул. Адм. Ушакова у Корабельного районі м. Миколаєва</t>
  </si>
  <si>
    <t>пров. М. Рибальченко від вул. Кобзарської до №1</t>
  </si>
  <si>
    <t>ТОВ "Миколаївавтодор"</t>
  </si>
  <si>
    <t>Капітальний ремонт дорожнього покриття приватного сектору по вул. Рибна від вул. Янтарної до вул. Торгової у Корабельному районі м. Миколаєва</t>
  </si>
  <si>
    <t>вул. Рибна від вул. Янтарної до вул. Торгової</t>
  </si>
  <si>
    <t>Капітальний ремонт дорожнього покриття приватного сектору по пров. 2-й Братський у Корабельному районі м. Миколаєва</t>
  </si>
  <si>
    <t>пров. 2-й Братський</t>
  </si>
  <si>
    <t>Капітальний ремонт дорожнього одягу дороги по вул. Металургів від вул. Леваневського до вул. Львівської в м. Миколаєві</t>
  </si>
  <si>
    <t>вул. Металургів від вул. Леваневського до вул. Львівської</t>
  </si>
  <si>
    <t>ФОП Гончаренко А.А.</t>
  </si>
  <si>
    <t>Капітальний ремонт дорожнього одягу дороги по вул. Галицинівській від буд.№50 до вул. Лесі Українки в м. Миколаєві (І пусковий комплекс)</t>
  </si>
  <si>
    <t>вул. Галицинівська</t>
  </si>
  <si>
    <t>Капітальний ремонт дорожнього покриття приватного сектору по вул. Єсеніна від №77 до вул. Фруктової у Корабельному районі м. Миколаєва</t>
  </si>
  <si>
    <t>вул. Єсеніна від №77 до вул. Фруктової</t>
  </si>
  <si>
    <t>Капітальний ремонт дороги</t>
  </si>
  <si>
    <t>Капітальний ремонт дороги приватного сектору по пров. Ліванова</t>
  </si>
  <si>
    <t>вул. Ліванова</t>
  </si>
  <si>
    <t>ФОП Петрушклв А.Є.</t>
  </si>
  <si>
    <t>Капітальний ремонт зупинок громадського транспорту</t>
  </si>
  <si>
    <t>Зупинний павільйон громадського транспорту по непарній стороні вул. Степовій у м. Миколаєві, зупинка «Єсеніна» (капітальний ремонт)</t>
  </si>
  <si>
    <t>вул. Степова, зупинка «Єсеніна» (непарна сторона)</t>
  </si>
  <si>
    <t>Зупинний павільйон громадського транспорту по парній стороні вул. Степовій у м. Миколаєві, зупинка «Єсеніна» (капітальний ремонт)</t>
  </si>
  <si>
    <t>вул. Степова, зупинка «Єсеніна» (парна сторона)</t>
  </si>
  <si>
    <t>ТОВ "Светлолюкс-Электромонтаж" (ПКД)</t>
  </si>
  <si>
    <t>Капітальний ремонт мереж зовнішнього освітлення</t>
  </si>
  <si>
    <t xml:space="preserve">Капітальний ремонт мереж зовнішнього освітлення по вул. Айвазовського та пр. Корабелів від вул. Айвазовського до профілакторію "Знання"  у Корабельному районі м. Миколаєва </t>
  </si>
  <si>
    <t>вул. Айвазовського та пр. Корабелів від вул. Айвазовського до профілакторію "Знання"</t>
  </si>
  <si>
    <t>ТОВ "Светлолюкс-Электромонтаж"</t>
  </si>
  <si>
    <t>Капітальний ремонт мереж зовнішнього освітлення по вул. Приміській у Корабельному районі м. Миколаєва</t>
  </si>
  <si>
    <t>вул. Приміська</t>
  </si>
  <si>
    <t>Капітальний ремонт зовнішніх ліній електроосвітлення по вул. 2-а Козацька, вул. 9-а Козацька, вул. 10-а Козацька, вул. 11-а Козацька, вул. 12-а Козацька, вул. Воїнська дорога</t>
  </si>
  <si>
    <t>вул. 2, 9, 10, 11, 12 Козацька, вул. Воїнська дорога</t>
  </si>
  <si>
    <t>ФОП Басиста Т.А.</t>
  </si>
  <si>
    <t>Капітальний ремонт тротуарів</t>
  </si>
  <si>
    <t>Капітальний ремонт тротуару по вул. Вокзальна 49, 51 у Корабельному районі м. Миколаєва</t>
  </si>
  <si>
    <t>вул. Вокзальна 49, 51</t>
  </si>
  <si>
    <t>Капітальний тротуару по вул. Генерала Попеля від вул. Лесі Українки до вул. Пшеніцина у Корабельному районі м. Миколаєва</t>
  </si>
  <si>
    <t xml:space="preserve">вул. Ген. Попеля від вул. Л. Українки до вул. Пшеніцина </t>
  </si>
  <si>
    <t>Капітальний ремонт тротуару по вул. Попеля, 162, 170 у Корабельному районі м. Миколаєва</t>
  </si>
  <si>
    <t xml:space="preserve">вул. Попеля, 162, 170 </t>
  </si>
  <si>
    <t>ФОП Озейчук С.М.</t>
  </si>
  <si>
    <t>Капітальний ремонт тротуарної частини по пр. Богоявленському від №332 до вул. Новобудівної у Корабельному районі м. Миколаєва</t>
  </si>
  <si>
    <t>пр. Богоявленський, 332</t>
  </si>
  <si>
    <t>Капітальний ремонт внутрішньоквартальних проїздів</t>
  </si>
  <si>
    <t>Капітальний ремонт внутрішньоквартального проїзду по вул. Райдужна, 34 у Корабельному районі м. Миколаєва</t>
  </si>
  <si>
    <t>вул. Райдужна, 34</t>
  </si>
  <si>
    <t>ТОВ "МАКРОМИР-ПРОЕКТ" (ПКД)</t>
  </si>
  <si>
    <t>Капітальний ремонт дорожнього одягу міжквартального проїзду по вул. Знаменській від буд. №35 до буд. №43</t>
  </si>
  <si>
    <t>вул. Знаменська, 35-43</t>
  </si>
  <si>
    <t>Капітальний ремонт внутрішньоквартальних проїзду по пр. Богоявленському, 320, 324, 326</t>
  </si>
  <si>
    <t>пр. Богоявленський, 320, 324, 326</t>
  </si>
  <si>
    <t>Капітальний ремонт внутрішньоквартальних проїздів по пр. Корабелів вздовж ЗОШ №54 до ЗОШ №1</t>
  </si>
  <si>
    <t>пр. Корабелів вздовж ЗОШ №54 до ЗОШ №1</t>
  </si>
  <si>
    <t>Капітальний ремонт внутрішньоквартальних проїздів по вул. Океанівській, 18, 18/1, 18/2, 20, 20/1 і пр. Богоявленському, 317, 319</t>
  </si>
  <si>
    <t>вул. Океанівська, 18, 18/1, 18/2, 20, 20/1</t>
  </si>
  <si>
    <t>Капітальний ремонт внутрішньоквартальних проїзду по вул. 295 Стрілецької дивізії вздовж будинків №91-а, 91-б, 91-в</t>
  </si>
  <si>
    <t>вул. 295 Стрілецької дивізії вздовж будинків №91-а, 91-б, 91-в</t>
  </si>
  <si>
    <t>Капітальний ремонт внутрішньоквартальних проїздів від будинку по вул. Олега Ольжича, 3-д вздовж будинку по вул. Айвазовського, 5-а та ЗОШ №1</t>
  </si>
  <si>
    <t>вул. Ольжича, 3-д вздовж вул. Айвазовського, 5-а та ЗОШ №1</t>
  </si>
  <si>
    <t>Капітальний ремонт внутрішньоквартальних проїздів по пр. Богоявленському, 305, 307, вул. Новобудівний, 9</t>
  </si>
  <si>
    <t>пр. Богоявленський, 305, 307, вул. Новобудівна, 9</t>
  </si>
  <si>
    <t>Капітальний ремонт внутрішньоквартальних проїздів по вул. Попеля, 162, 170 у Корабельному районі м. Миколаєва</t>
  </si>
  <si>
    <t>вул. Попеля, 162, 170</t>
  </si>
  <si>
    <t>Капітальний ремонт внутрішньоквартальних проїздів по вул. Океанівська, 28</t>
  </si>
  <si>
    <t>вул. Океанівська, 28</t>
  </si>
  <si>
    <t>ТОВ "УРБАН КОНСТРАКТ" (ПКД)</t>
  </si>
  <si>
    <t>Капітальний ремонт ігрових та спортивних майданчиків</t>
  </si>
  <si>
    <t>Капітальний ремонт спортивного майданчику на пляжній зоні біля яхт-клубу у Корабельному районі м. Миколаєва</t>
  </si>
  <si>
    <t>Пляжній зоні біля яхт-клубу у Корабельному районі</t>
  </si>
  <si>
    <t>Капітальний ремонт спортивно-кінологічного майданчика по вул. Новобудівній у Корабельному районі м. Миколаєва</t>
  </si>
  <si>
    <t>вул. Новобудівна</t>
  </si>
  <si>
    <t>Адміністрація Корабельного району Миколаївської міської ради</t>
  </si>
  <si>
    <t>ТОВ "Проект-комплект строй" (41299123)</t>
  </si>
  <si>
    <t>Розробка ПКД</t>
  </si>
  <si>
    <t>Реконструкція стадіону "Юність" за адресою: вул. Порганична, 15 у м. Миколаєві, у тому числі передпроектні, проектні роботи та експертиза</t>
  </si>
  <si>
    <t>Вул. Порганична, 15 у м. Миколаєві, у тому числі передпроектні, проектні роботи та експертиза</t>
  </si>
  <si>
    <t>ТОВ "ТРИ-УМФ" (41591664)</t>
  </si>
  <si>
    <t>Будівельно монтажні роботи</t>
  </si>
  <si>
    <t>ТОВ "Автограф-Н" (24797380)</t>
  </si>
  <si>
    <t>Коригування ПКД</t>
  </si>
  <si>
    <t>Реконструкція міні-стадіону з влаштуванням спортивного майданчика за адресою: вул.Озерна,29,31 у м.Миколаєві, у тому числі проектні роботи та експертиза</t>
  </si>
  <si>
    <t>Вул.Озерна,29,31 у м.Миколаєві, у тому числі проектні роботи та експертиза</t>
  </si>
  <si>
    <t>ФОП Ваховський Максим Олегович (№ 3072218395)</t>
  </si>
  <si>
    <t>Виготовлення ПКД</t>
  </si>
  <si>
    <t>Капітальний ремонт міні-майданчика для дітей та підлітків по вул.Лазурна,50,52,52б</t>
  </si>
  <si>
    <t>Вул.Лазурна,50,52,52б</t>
  </si>
  <si>
    <t>Технічний нагляд</t>
  </si>
  <si>
    <t>Авторський нагляд</t>
  </si>
  <si>
    <t>ФОП Хіврич В.Г. (№2285501950)</t>
  </si>
  <si>
    <t>Капітальний ремонт дитячого ігрового майданчика по вул.Г.Карпенка, 57 у Заводському районі у м.Миколаєві</t>
  </si>
  <si>
    <t>Вул.Г.Карпенка, 57 у Заводському районі у м.Миколаєві</t>
  </si>
  <si>
    <t>ФОП Дейнеко Іван Вікторович (№2989513713)</t>
  </si>
  <si>
    <t>ТОВ "Миколаївбудінвест" (№ 35272884)</t>
  </si>
  <si>
    <t>Капітальний ремонт дитячого ігрового майданчика по вул.Крилова, 12/1, 12/2 ,12/24 в Заводському районі у м.Миколаєві</t>
  </si>
  <si>
    <t>Вул.Крилова, 12/1, 12/2 ,12/24 в Заводському районі у м.Миколаєві</t>
  </si>
  <si>
    <t>Капітальний ремонт дитячого ігрового майданчика по вул.Г.Карпенка, 12а, 12б, 12в в Заводському районі у м.Миколаєві</t>
  </si>
  <si>
    <t>Вул.Г.Карпенка, 12а, 12б, 12в в Заводському районі у м.Миколаєві</t>
  </si>
  <si>
    <t>Інші об’єкти</t>
  </si>
  <si>
    <t>ТОВ "АБК" АРХСІТІ"</t>
  </si>
  <si>
    <t>Розробка проектно-кошторисної документації та відшкодування експертизи</t>
  </si>
  <si>
    <t>Розробка проектно-кошторисної документації та відшкодування експертизи на об’єкт "Капітальний ремонт асфальтового покриття прибудинкової теріторії та внутрішньоквартального проїзду по вул.Заводська, будинок 27/1,27/2,27/3 у Заводському районі м.Миколаєва"</t>
  </si>
  <si>
    <t>Вул.Заводська, будинок 27/1,27/2,27/3 у Заводському районі м.Миколаєва"</t>
  </si>
  <si>
    <t>ТОВ "Дорбудсервис"</t>
  </si>
  <si>
    <t>Капітальний ремонт дорожнього покриття  внутрішньоквартального проїзду вздовж будинку №15 до будинку №13/1 по вул.Крилова у Заводського району м.Миколаєва</t>
  </si>
  <si>
    <t>Вздовж будинку №15 до будинку №13/1 по вул.Крилова у Заводського району м.Миколаєва</t>
  </si>
  <si>
    <t>ФОП Чудаков І.В. (№3091119056)</t>
  </si>
  <si>
    <t>ТОВ "Фортунаінвестбуд"</t>
  </si>
  <si>
    <t>Капітальний ремонт дорожнього покриття  внутрішньоквартального проїзду вздовж будинку № 9-А по вул.Курортна у Заводського району м.Миколаєва"</t>
  </si>
  <si>
    <t>Вздовж будинку № 9-А по вул.Курортна у Заводського району м.Миколаєва"</t>
  </si>
  <si>
    <t>Проектно-кошторисна документація по об’єкту "Капітальний ремонт дорожнього покриття  внутрішньоквартальних проїздів вздовж будинків №37, 37-А, 37-Б по вул.Г.Карпенка та №1 по  вул. Крилова у Заводського району м.Миколаєва"</t>
  </si>
  <si>
    <t>Вздовж будинків №37, 37-А, 37-Б по вул.Г.Карпенка та №1 по  вул. Крилова у Заводського району м.Миколаєва"</t>
  </si>
  <si>
    <t>Проектно-кошторисна документація по об’єкту "Капітальний ремонт дорожнього покриття  внутрішньоквартального проїзду вздовж будинку №9-А по  вул. Курортна у Заводського району м.Миколаєва"</t>
  </si>
  <si>
    <t>Вздовж будинку №9-А по  вул. Курортна у Заводського району м.Миколаєва"</t>
  </si>
  <si>
    <t>ТОВ "ДОРБУДСЕРВІС" (код 41121296)</t>
  </si>
  <si>
    <t>Капітальний ремонт дорожнього покриття  по вул. 5 Слобідська від вул.Кузнецька до вул. 7 Ялтинська у приватному секторі Заводського району м.Миколаєва</t>
  </si>
  <si>
    <t>Вул. 5 Слобідська від вул.Кузнецька до вул. 7 Ялтинська у приватному секторі Заводського району м.Миколаєва</t>
  </si>
  <si>
    <t>Створення проектно-кошторисної документації</t>
  </si>
  <si>
    <t>Проектно-кошторисна документація по об’єкту "Капітальний ремонт дорожнього покриття  по вул. Клубна від вул. Антична до цвинтаря у приватному секторі мкр.Велика Корениха Заводського району м.Миколаєва</t>
  </si>
  <si>
    <t>Вул. Клубна від вул. Антична до цвинтаря у приватному секторі мкр.Велика Корениха Заводського району м.Миколаєва</t>
  </si>
  <si>
    <t>Проектно-кошторисна документація по об’єкту "Капітальний ремонт дороги по вул. Покровська від а/д Т-15-07 до будинку № 34 у приватному секторі Заводського району м.Миколаєва"</t>
  </si>
  <si>
    <t>Вул. Покровська від а/д Т-15-07 до будинку № 34 у приватному секторі Заводського району м.Миколаєва</t>
  </si>
  <si>
    <t>Капітальний ремонт дорожнього покриття  по вул. 5 Слобідська від вул. Кузнецька до вул. 7 Ялтинська у приватному секторі Заводського району м.Миколаєва</t>
  </si>
  <si>
    <t>Вул. 5 Слобідська від вул. Кузнецька до вул. 7 Ялтинська у приватному секторі Заводського району м.Миколаєва</t>
  </si>
  <si>
    <t>ТОВ  "ДОРБУДСЕРВИС"</t>
  </si>
  <si>
    <t>Капітальний ремонт дорожнього покриття</t>
  </si>
  <si>
    <t>Капітальний ремонт дорожнього покриття  по вул. Лягіна від вул. Погранична до вул. Защука у приватному секторі Заводського району м.Миколаєва</t>
  </si>
  <si>
    <t>Вул. Лягіна від вул. Погранична до вул. Защука у приватному секторі Заводського району м.Миколаєва</t>
  </si>
  <si>
    <t>ФОП Ваховський Максим Олегович</t>
  </si>
  <si>
    <t>Проектно-кошторисна документація</t>
  </si>
  <si>
    <t>Проектно-кошторисна документація по об’єкту "Капітальний ремонт дороги по вул. Антична від вул. Покровська до будинку № 8 у приватному секторі Заводського району м.Миколаєва"</t>
  </si>
  <si>
    <t>Вул. Антична від вул. Покровська до будинку № 8 у приватному секторі Заводського району м.Миколаєва</t>
  </si>
  <si>
    <t xml:space="preserve">ФОП Царюк С.В. </t>
  </si>
  <si>
    <t xml:space="preserve">ФОП Ваховський Максим Олегович </t>
  </si>
  <si>
    <t xml:space="preserve">ТОВ "ДОРБУДСЕРВІС" </t>
  </si>
  <si>
    <t>Капітальний ремонт дороги по вул.Набережна від будинку №21 до вул.Віктора Скаржинського у приватному секторі Заводського району м.Миколаєва</t>
  </si>
  <si>
    <t>Вул.Набережна від будинку №21 до вул.Віктора Скаржинського у приватному секторі Заводського району м.Миколаєва</t>
  </si>
  <si>
    <t>Капітальний ремонт дороги по вул.Спортивна від вул. Миру до вул.Віктора Скаржинського у приватному секторі Заводського району м.Миколаєва</t>
  </si>
  <si>
    <t>Вул.Спортивна від вул. Миру до вул.Віктора Скаржинського у приватному секторі Заводського району м.Миколаєва</t>
  </si>
  <si>
    <t>Адміністрація Заводського району Миколаївської міської ради</t>
  </si>
  <si>
    <t>-</t>
  </si>
  <si>
    <t>Департамент внутрішнього фінансового контролю, нагляду та протидії корупції Миколаївської міської ради</t>
  </si>
  <si>
    <t>Департамент фінансів Миколаївської міської ради</t>
  </si>
  <si>
    <t>Управління земельних ресурсів Миколаївської міської ради</t>
  </si>
  <si>
    <t>Департамент з надання адміністративних послуг Миколаївської міської ради</t>
  </si>
  <si>
    <t>Управління комунального майна Миколаївської міської ради</t>
  </si>
  <si>
    <t>управління
  капітального будівництва</t>
  </si>
  <si>
    <t>Капітальний ремонт покрівлі</t>
  </si>
  <si>
    <t xml:space="preserve"> Склади матеріального резерву</t>
  </si>
  <si>
    <t>В.Чорновола,4/3</t>
  </si>
  <si>
    <t>КП ММР "Капітальне будівництво міста Миколаєва"</t>
  </si>
  <si>
    <t>Реконструкція</t>
  </si>
  <si>
    <t>Міська система централізованого оповіщення про загрозу або виникнення НС</t>
  </si>
  <si>
    <t>м.Миколаїв</t>
  </si>
  <si>
    <t>Управління з питань надзвичайних ситуацій та цивільного захисту населення Миколаївської міської ради</t>
  </si>
  <si>
    <t>Управління державного архітектурно-будівельного контролю Миколаївської міської  ради</t>
  </si>
  <si>
    <t>Управління містобудування та архітектури Миколаївської міської ради</t>
  </si>
  <si>
    <t>ТОВ Південна євр.компанія</t>
  </si>
  <si>
    <t>Нове будівництво</t>
  </si>
  <si>
    <t>Нове будівництво  велодоріжки по пр. Богоявленському  від Широкобальського шляхопроводу до вул. Гагаріна в м. Миколаєві, в т.ч. проектно-вишукувальні роботи та експертиза</t>
  </si>
  <si>
    <t>ТОВ АБК "Завтра"</t>
  </si>
  <si>
    <t>Реконструкція топкової (із змінами існуючих газових котлів) у відділеннях Центрального району міського територіального центру соціального обслуговування (надання соціальних послуг) за адресою: м.Миколаїв, вул.Шевченка, 19-А, у т.ч. проектно-вишукувальні роботи та експертиза</t>
  </si>
  <si>
    <t>Нове будівництво Центру надання адміністративних послуг у м. Миколаєві, в т. ч. виготовлення проекту землеустрою, проектно-вишукувальні роботи та експертиза</t>
  </si>
  <si>
    <t>Нове будівництво мереж каналізації по вул. Чкалова від буд.№1/2 до вул. Рюміна;  по вул.Дунаєва від вул.Андрєєва-Палагнюка до вул.Рюміна; по вул.Сінна від буд.№10/1 до вул.Рюміна; по вул.Андрєєва-Палагнюка від буд.№1/2 до вул.Дунаєва; по вул.Рюміна від вул.Чкалова до існуючого колодязя на мережі напроти буд.№16 у м. Миколаєві, в т.ч. проектно-вишукувальні роботи та експертиза</t>
  </si>
  <si>
    <t>м. Миколаїв</t>
  </si>
  <si>
    <t>Нове будівництво каналізації на території житлового фонду приватного сектору у мікрорайоні Ялти у м. Миколаєві, в т.ч. проектно-вишукувальні роботи та експертиза</t>
  </si>
  <si>
    <t>у мікрорайоні Ялти у м. Миколаєві</t>
  </si>
  <si>
    <t xml:space="preserve">Реконструкція нежитлових приміщень по вул.Спаській, 23/1 в м.Миколаєві під дитячу художню школу, в т.ч. проектно-вишукувальні роботи та експертиза </t>
  </si>
  <si>
    <t>вул.Спаська, 23/1 в м.Миколаєві</t>
  </si>
  <si>
    <t>ТОВ "ЕСГ-України"</t>
  </si>
  <si>
    <t>Реконструкція існуючого футбольного поля Центрального міського стадіону по вул. Спортивній, 1/1 в. м. Миколаєві, у т. ч. проектні роботи та експертиза</t>
  </si>
  <si>
    <t>вул. Спортивна, 1/1 в. м. Миколаєві</t>
  </si>
  <si>
    <t>Нове будівництво борцівського манежу під куполом за адресою: пр. Героїв України, 4 в м. Миколаєві, у т. ч. проектно - вишукувальні роботи та експертиза</t>
  </si>
  <si>
    <t>пр. Героїв України, 4 в м. Миколаєві</t>
  </si>
  <si>
    <t>Нове будівництво (розробка ПКД)</t>
  </si>
  <si>
    <t>Нове будівництво Центру легкої атлетики та ігрових видів спорту за адресою:  вул.Спортивна, 1/1 в м.Миколаєві, в т.ч. проектні роботи та експертиза</t>
  </si>
  <si>
    <t>вул.Спортивна, 1/1 в м.Миколаєві</t>
  </si>
  <si>
    <t>ТОВ "Миколаїв-Проект"</t>
  </si>
  <si>
    <t>Нове будівництво (коригування ПКД)</t>
  </si>
  <si>
    <t>Нове будівництво  кладовища по Херсонському шосе, 112 в м. Миколаєві І черга, в т.ч. проектно-вишукувальні роботи та експертиза</t>
  </si>
  <si>
    <t>Херсонське шосе, 112 в м. Миколаєві</t>
  </si>
  <si>
    <t>ТОВ Інститут Градпроект</t>
  </si>
  <si>
    <t>Нове будівництво дошкільного начального закладу по вул.Променева у мікрорайоні «Північний» м.Миколаєва, в т.ч. проектно-вишукувальні роботи та експертиза</t>
  </si>
  <si>
    <t>мкр Північний м.Миколаїв</t>
  </si>
  <si>
    <t>нове будівництво</t>
  </si>
  <si>
    <t>Нове будівництво котельні ЗОШ №4 по вул.М.Морська, 78 у м. Миколаєві, в т.ч. проектно-вишукувальні роботи та експертиза</t>
  </si>
  <si>
    <t>вул.М.Морська, 78 у м. Миколаєві</t>
  </si>
  <si>
    <t>реконструкція</t>
  </si>
  <si>
    <t>Реконструкція покрівлі ЗОШ №59</t>
  </si>
  <si>
    <t>вул.Адміральська,24</t>
  </si>
  <si>
    <t>Нове будівництво котельні ЗОШ №29 по вул. Ватутіна, 124 у м. Миколаєві, в т.ч. проектно-вишукувальні роботи та експертиза</t>
  </si>
  <si>
    <t>вул. Ватутіна, 124 у м. Миколаєві</t>
  </si>
  <si>
    <t>Прибудова  ЗОШ №22 по вул.Робочій,8 в м.Миколаєві (нове будівництво), у т.ч. проектно-вишукувальні роботи та експертиза</t>
  </si>
  <si>
    <t>вул.Робочій,8 в м.Миколаєві</t>
  </si>
  <si>
    <t>реставрація</t>
  </si>
  <si>
    <t>Реставрація Миколаівської гімназії №2</t>
  </si>
  <si>
    <t>ТОВ ГолденБуд; ФОП Любенко І.В.</t>
  </si>
  <si>
    <t>Капітальний ремонт з ПКД та експертиза</t>
  </si>
  <si>
    <t>Капітальний ремонт системи опалення  та покрівлі  з утепленням фасаду  будівлі  СК "Надія" (СДЮШОР № 4) по вул. Генерала Карпенка 40а, у м. Миколаєві</t>
  </si>
  <si>
    <t xml:space="preserve"> вул. Генерала Карпенка 40а, у м. Миколаєві</t>
  </si>
  <si>
    <t>ТОВ "ІНПРОЕКТБУД"</t>
  </si>
  <si>
    <t xml:space="preserve">Капітальний ремонт, в т.ч. проектно-вишукувальні роботи та експертиза  </t>
  </si>
  <si>
    <t xml:space="preserve">Капітальний ремонт бібліотеки-філії №8 Центральної міської бібліотеки ім. М.Л. Кропивницького ЦБС для дорослих за адресою:вул.1 Лінія 34 а у м.Миколаєві, в т.ч. проектно-вишукувальні роботи та експертиза </t>
  </si>
  <si>
    <t>вул.1 Лінія 34 а у м.Миколаєві</t>
  </si>
  <si>
    <t>ТОВ "УРБАН-КОНСТРАКТ"</t>
  </si>
  <si>
    <t>Капітальний ремонт (в т.ч. проектні роботи та експертиза)</t>
  </si>
  <si>
    <t>КУ ММР "Центр підтримки та дозвілля ВПО та ветеранів АТО"  (в т.ч. проектні роботи та експертиза)</t>
  </si>
  <si>
    <t>м. Миколаїв, вул. Ш.Кобера 13а</t>
  </si>
  <si>
    <t>ФОП Круліковський К.Я.; ТОВ "БК Прайм Девелопмент"</t>
  </si>
  <si>
    <t>Капітальний ремонт АПС Палацу творчості учнів з ПКД</t>
  </si>
  <si>
    <t>ТОВ "Нікпожтехсервіс"</t>
  </si>
  <si>
    <t>Капітальний ремонт АПС Дитячого центру позашкільної роботи Кораб.р-ну з ПКД</t>
  </si>
  <si>
    <t>Капітальний ремонт АПС будиноку дитячої та юнацької творчості Інгульського  р-ну з ПКД</t>
  </si>
  <si>
    <t>Капітальний ремонт АПС будиноку дитячої та юнацької творчості Заводського р-ну з ПКД</t>
  </si>
  <si>
    <t>ТОВ "Інпроектбуд"</t>
  </si>
  <si>
    <t>Капітальний ремонт будівлі ЗОШ № 59</t>
  </si>
  <si>
    <t>Капітальний ремонт АПС з ПКД ЗОШ № 59</t>
  </si>
  <si>
    <t>Капітальний ремонт спортивного майданчику ЗОШ № 53</t>
  </si>
  <si>
    <t>Капітальний ремонт будівлі ЗОШ № 32</t>
  </si>
  <si>
    <t>ТОВ "ИСКОБАР"</t>
  </si>
  <si>
    <t>Капітальний ремонт АПС з ПКД академії дитячої творчості</t>
  </si>
  <si>
    <t>вул. Олійника, 36</t>
  </si>
  <si>
    <t>ТОВ "ИСКОБАР"; ТОВ "БК Прайм Девелопмент"</t>
  </si>
  <si>
    <t>Капітальний ремонт АПС з ПКД ММК (корпус2) ім.В.Д. Чайки</t>
  </si>
  <si>
    <t>вул. Потьомкінська, 147А</t>
  </si>
  <si>
    <t>ФОП Круліковський К.Я.; ТОВ "Голден-Буд"</t>
  </si>
  <si>
    <t>Капітальний ремонт АПС з ПКД ЗОШ №19</t>
  </si>
  <si>
    <t>вул. Передова, 11А</t>
  </si>
  <si>
    <t>Капітальний ремонт АПС з ПКД ЗОШ №11</t>
  </si>
  <si>
    <t>ТОВ "АБ Масив"</t>
  </si>
  <si>
    <t>Капітальний ремонт будівлі ЗОШ №51</t>
  </si>
  <si>
    <t>пров.Парусний,3-а</t>
  </si>
  <si>
    <t>ТОВ "Сварог-К"</t>
  </si>
  <si>
    <t>Капітальний ремонт АПС з ПКД Гімназії №4</t>
  </si>
  <si>
    <t>Капітальний ремонт АПС з ПКД ЗОШ №60</t>
  </si>
  <si>
    <t>вул. Чорноморська, 1</t>
  </si>
  <si>
    <t>Капітальний ремонт АПС з ПКД ЗОШ №57</t>
  </si>
  <si>
    <t>ТОВ "Сварог-К";ТОВ "НікоВіта"</t>
  </si>
  <si>
    <t>Капітальний ремонт АПС з ПКД ЗОШ №56</t>
  </si>
  <si>
    <t>ФОП Круліковський К.Я.</t>
  </si>
  <si>
    <t>Капітальний ремонт АПС з ПКД ЗОШ №53</t>
  </si>
  <si>
    <t>Капітальний ремонт АПС з ПКД ЗОШ №52</t>
  </si>
  <si>
    <t>ТОВ "Южний город"</t>
  </si>
  <si>
    <t>Капітальний ремонт будівлі ЗОШ №24</t>
  </si>
  <si>
    <t>вул.Лісова,1</t>
  </si>
  <si>
    <t>Капітальний ремонт АПС з ПКД ЗОШ №51</t>
  </si>
  <si>
    <t>ТОВ "Фенікс Юг"</t>
  </si>
  <si>
    <t>Капітальний ремонт АПС з ПКД ЗОШ №50</t>
  </si>
  <si>
    <t>Капітальний ремонт АПС з ПКД ЗОШ №48</t>
  </si>
  <si>
    <t>Ф-я ДП "Укрдержбудекспертиза"</t>
  </si>
  <si>
    <t>Капітальний ремонт АПС з ПКД ЗОШ №46</t>
  </si>
  <si>
    <t>Ф-я ДП "Укрдержбудекспертиза"; ТОВ "НІКОВІТА"</t>
  </si>
  <si>
    <t>Капітальний ремонт АПС з ПКД ЗОШ №45</t>
  </si>
  <si>
    <t>ТОВ "Охрана"</t>
  </si>
  <si>
    <t>Капітальний ремонт АПС з ПКД ЗОШ №42</t>
  </si>
  <si>
    <t>Капітальний ремонт АПС з ПКД ЗОШ №40</t>
  </si>
  <si>
    <t>Капітальний ремонт АПС з ПКД ЗОШ №28</t>
  </si>
  <si>
    <t>Капітальний ремонт АПС з ПКД ЗОШ №23</t>
  </si>
  <si>
    <t>Капітальний ремонт АПС з ПКД ЗОШ №22</t>
  </si>
  <si>
    <t>Капітальний ремонт АПС з ПКД ЗОШ №20</t>
  </si>
  <si>
    <t>вул. Космонавтів, 70</t>
  </si>
  <si>
    <t>Ф-я ДП "Укрдержбудекспертиза" ТОВ Нікпожтехсервіс; КП ММР КБ</t>
  </si>
  <si>
    <t>Капітальний ремонт АПС з ПКД ЗОШ №18</t>
  </si>
  <si>
    <t>вул. Дачна, 2</t>
  </si>
  <si>
    <t>Ф-я ДП "Укрдержбудекспертиза", ФОП АксьоновМ.В.; ТОВ "БК ПраймДевелопмент"</t>
  </si>
  <si>
    <t>Капітальний ремонт АПС з ПКД ЗОШ №17</t>
  </si>
  <si>
    <t xml:space="preserve">м.Миколаїв, вул. Крилова,12/6 </t>
  </si>
  <si>
    <t>Ф-я ДП "Укрдержбудекспертиза", ТОВ "Промбезпека"; КП ММР КБ; ТОВ "Сигнал-Союз"</t>
  </si>
  <si>
    <t>Капітальний ремонт АПС з ПКД ЗОШ №12</t>
  </si>
  <si>
    <t>м. Миколаїв, вул.1-й Екіпажна, 2</t>
  </si>
  <si>
    <t>Капітальний ремонт АПС з ПКД ЗОШ №6</t>
  </si>
  <si>
    <t>вул. Курортна, 2А</t>
  </si>
  <si>
    <t>Капітальний ремонт АПС з ПКД ЗОШ №59</t>
  </si>
  <si>
    <t>Капітальний ремонт АПС з ПКД ЗОШ №1</t>
  </si>
  <si>
    <t>вул. Айвазовського, 8</t>
  </si>
  <si>
    <t>Капітальний ремонт закладу для створення Інклюзивно-ресурсн..центру ЗОШ №37</t>
  </si>
  <si>
    <t>ТОВ "Ласкардо",  ТОВ Охорона"</t>
  </si>
  <si>
    <t>Капітальний ремонт спортивного майданчику ЗОШ № 12</t>
  </si>
  <si>
    <t>м. Миколаїв вул. Урицького, 2</t>
  </si>
  <si>
    <t>ТОВ  АПК"ЄВГРОЙЛ"</t>
  </si>
  <si>
    <t>Капітальний ремонт спортивного майданчику ЗОШ № 15</t>
  </si>
  <si>
    <t>ФОП Токарчук О.С.</t>
  </si>
  <si>
    <t>Капітальний ремонт АПС з ПКД ДНЗ №148</t>
  </si>
  <si>
    <t>вул. Чкалова, 80</t>
  </si>
  <si>
    <t>Капітальний ремонт будівлі ДНЗ №130</t>
  </si>
  <si>
    <t>вул.Знаменська,5А</t>
  </si>
  <si>
    <t>Капітальний ремонт будівлі ДНЗ №67</t>
  </si>
  <si>
    <t>пр.Миру, 7/1</t>
  </si>
  <si>
    <t>ФОП Токарчук О.С.; ТОВ "Нікпожтехсервіс"</t>
  </si>
  <si>
    <t>Капітальний ремонт АПС з ПКД ДНЗ №142</t>
  </si>
  <si>
    <t>вул. Ген. Свиридова, 38</t>
  </si>
  <si>
    <t>Капітальний ремонт АПС з ПКД ДНЗ №141</t>
  </si>
  <si>
    <t>Капітальний ремонт АПС з ПКД ДНЗ №52</t>
  </si>
  <si>
    <t>ФОП Токарчук О.С.; ТОВ "Промбезпека"</t>
  </si>
  <si>
    <t>Капітальний ремонт АПС з ПКД ДНЗ №49</t>
  </si>
  <si>
    <t>вул. лазурна, 44</t>
  </si>
  <si>
    <t>Капітальний ремонт АПС з ПКД ДНЗ №12</t>
  </si>
  <si>
    <t>Капітальний ремонт АПС з ПКД ДНЗ №2</t>
  </si>
  <si>
    <t xml:space="preserve">м. Миколаїв, вул. Чкалова, 118-А </t>
  </si>
  <si>
    <t>Капітальний ремонт АПС з ПКД ДНЗ № 117</t>
  </si>
  <si>
    <t>Кап.ремонт нежитлових приміщень</t>
  </si>
  <si>
    <t>пр.Центр.,135</t>
  </si>
  <si>
    <t>вул.Севастопольська,61а/15</t>
  </si>
  <si>
    <t>Управління капітального будівництва Миколаївської міської ради</t>
  </si>
  <si>
    <t>Разом по спеціальному фонду:</t>
  </si>
  <si>
    <t>ФОП Ігнатьєва Ю.О.</t>
  </si>
  <si>
    <t>Капітальний ремонт з термомодернізацією</t>
  </si>
  <si>
    <t>концерт-хол "Юність", пр. Богоявленський, 39-А</t>
  </si>
  <si>
    <t>м. Миколаїв,  пр. Богоявленський, 39-А</t>
  </si>
  <si>
    <t xml:space="preserve">Капітальний ремонт системи опалення, вентиляції та кондиціонування </t>
  </si>
  <si>
    <t>дитячий будинок творчості дітей та юнацтва, вул. Космнавтів, 128 А</t>
  </si>
  <si>
    <t>м. Миколаїв,  вул. Космнавтів, 128 А</t>
  </si>
  <si>
    <t>ФОП Канівченко В.Г.</t>
  </si>
  <si>
    <t>загальноосвітня школа І-ІІІ ст. №1 О.Ольжича, вул. Айвазовського , 8, м. Миколаїв</t>
  </si>
  <si>
    <t xml:space="preserve"> м. Миколаїв, вул. Айвазовського , 8</t>
  </si>
  <si>
    <t>загальноосвітня школа І-ІІІ ст. №42, вул. Електронна,73, м. Миколаїв</t>
  </si>
  <si>
    <t>м. Миколаїв, вул. Електронна,73</t>
  </si>
  <si>
    <t>Капітальний ремонт вуличного освітлення</t>
  </si>
  <si>
    <t>вул. Турбінна</t>
  </si>
  <si>
    <t>м. Миколаїв, вул. Турбінна</t>
  </si>
  <si>
    <t>вул. Космонавтів</t>
  </si>
  <si>
    <t>м. Миколаїв, вул. Космонавтів</t>
  </si>
  <si>
    <t>ТОВ "Старелекто" ТОВ "Полюс-Юг Компані"</t>
  </si>
  <si>
    <t>пр.Корабелів</t>
  </si>
  <si>
    <t>м. Миколаїв, пр. Корабелів</t>
  </si>
  <si>
    <t>ФОП Ігнатьєва Ю.О.
ФОП Біла Т.О.</t>
  </si>
  <si>
    <t xml:space="preserve">Капітальний ремонт з енергомодернізації </t>
  </si>
  <si>
    <t>"Теплий Миколаїв"</t>
  </si>
  <si>
    <t>м. Миколаїв, вул. Лісова,1</t>
  </si>
  <si>
    <t>ФОП Біла Т.О.</t>
  </si>
  <si>
    <t>"Громадський бюджет"</t>
  </si>
  <si>
    <t>Капітальний ремонт з енергомодернізації загальноосвітня школа І-ІІІ ст. № 24 за адресою м. Миколаїв, вул. Лісова,1</t>
  </si>
  <si>
    <t>ФОП Канівченко В.Г.
ТОВ БК Будремконструкція
ФОП Мовенко С.М.</t>
  </si>
  <si>
    <t>Капітальний ремонт в частині заміни вікон та вхідних дверей</t>
  </si>
  <si>
    <t>загальноосвітня школа І-ІІІ ст. № 17, вул. Крилова, 12/6, м. Миколаїв</t>
  </si>
  <si>
    <t>м. Миколаїв, вул. Крилова 12/6</t>
  </si>
  <si>
    <t>гімназія №4, вул. Лазурна, 48, м. Миколаїв</t>
  </si>
  <si>
    <t>м. Миколаїв, вул. Лазурна, 48</t>
  </si>
  <si>
    <t>загальноосвітня школа І-ІІІ ст. № 22, вул. Робоча, 8, м. Миколаїв</t>
  </si>
  <si>
    <t>м. Миколаїв, вул. Робоча, 8</t>
  </si>
  <si>
    <t>Капітальний ремонт в частині заміни вікон та вхідних дверей в під’їздах будинків</t>
  </si>
  <si>
    <t>вул. Ольжича, 1в</t>
  </si>
  <si>
    <t>м. Миколаїв, вул. Ольжича, 1в</t>
  </si>
  <si>
    <t>вул. Ольжича, 1б</t>
  </si>
  <si>
    <t>м. Миколаїв, вул. Ольжича, 1б</t>
  </si>
  <si>
    <t>вул. Ольжича, 1а</t>
  </si>
  <si>
    <t>м. Миколаїв, вул. Ольжича, 1а</t>
  </si>
  <si>
    <t>вул. Галини Петрової, 18</t>
  </si>
  <si>
    <t>м. Миколаїв, вул. Галини Петрової, 18</t>
  </si>
  <si>
    <t>вул. Лазурна, 28</t>
  </si>
  <si>
    <t>м. Миколаїв, вул. Лазурна, 28</t>
  </si>
  <si>
    <t>вул. Космонавтів, 59 а</t>
  </si>
  <si>
    <t>м. Миколаїв, вул. Космонавтів, 59 а</t>
  </si>
  <si>
    <t>вул. Генерала Карпенка, 42</t>
  </si>
  <si>
    <t>м. Миколаїв, вул. Генерала Карпенка, 42</t>
  </si>
  <si>
    <t>вул. Абрикосова, 5</t>
  </si>
  <si>
    <t>м. Миколаїв, вул. Абрикосова, 5</t>
  </si>
  <si>
    <t>ФОП Канівченко В.Г.,ФОП Ястреб Г.А.</t>
  </si>
  <si>
    <t>вул. Курортна, 5</t>
  </si>
  <si>
    <t>м. Миколаїв, вул. Курортна, 5</t>
  </si>
  <si>
    <t>вул. Генерала Карпенка, 2/1</t>
  </si>
  <si>
    <t>м. Миколаїв, вул. Генерала Карпенка, 2/1</t>
  </si>
  <si>
    <t>вул. Київська, 4</t>
  </si>
  <si>
    <t>м. Миколаїв, вул. Київська, 4</t>
  </si>
  <si>
    <t>вул. Озерна, 19 В</t>
  </si>
  <si>
    <t>м. Миколаїв, вул. Озерна, 19 В</t>
  </si>
  <si>
    <t>вул. Озерна, 19 Б</t>
  </si>
  <si>
    <t>м. Миколаїв, вул. Озерна, 19 Б</t>
  </si>
  <si>
    <t>вул. Крилова, 52</t>
  </si>
  <si>
    <t>м. Миколаїв, вул. Крилова, 52</t>
  </si>
  <si>
    <t>вул. Крилова, 50 А</t>
  </si>
  <si>
    <t>м. Миколаїв, вул. Крилова, 50 А</t>
  </si>
  <si>
    <t>вул. Крилова, 48</t>
  </si>
  <si>
    <t>м. Миколаїв, вул. Крилова, 48</t>
  </si>
  <si>
    <t>ФОП Канівченко В.Г., ТОВ Голден-Буд</t>
  </si>
  <si>
    <t>вул. Крилова, 38</t>
  </si>
  <si>
    <t>м. Миколаїв, вул. Крилова, 38</t>
  </si>
  <si>
    <t>ФОП Канівченко В.Г.
ФОП Ястреб Г.А.</t>
  </si>
  <si>
    <t>вул. Лазурна, 10 В</t>
  </si>
  <si>
    <t>м. Миколаїв, вул. Лазурна, 10 В</t>
  </si>
  <si>
    <t>ФОП Канівченко В.Г.
ФОП Ястреб Г.А.
ФОП Мовенко С.М.</t>
  </si>
  <si>
    <t>вул. Лазурна,6</t>
  </si>
  <si>
    <t>м. Миколаїв, вул. Лазурна,6</t>
  </si>
  <si>
    <t>вул. Молодогвардійська, 28 А</t>
  </si>
  <si>
    <t>м. Миколаїв, вул. Молодогвардійська, 28 А</t>
  </si>
  <si>
    <t>вул. Металургів, 32</t>
  </si>
  <si>
    <t>м. Миколаїв, вул. Металургів, 32</t>
  </si>
  <si>
    <t>вул. Металургів, 34</t>
  </si>
  <si>
    <t>м. Миколаїв, вул. Металургів, 34</t>
  </si>
  <si>
    <t>вул. Металургів,36-2</t>
  </si>
  <si>
    <t>м. Миколаїв, вул. Металургів,36-2</t>
  </si>
  <si>
    <t>пр. Корабелів, 4</t>
  </si>
  <si>
    <t>м. Миколаїв, пр. Корабелів, 4</t>
  </si>
  <si>
    <t>пр. Корабелів 6</t>
  </si>
  <si>
    <t>м. Миколаїв, пр. Корабелів 6</t>
  </si>
  <si>
    <t>пр. Корабелів, 8</t>
  </si>
  <si>
    <t>м. Миколаїв, пр. Корабелів, 8</t>
  </si>
  <si>
    <t>провул. Полярний, 2 В</t>
  </si>
  <si>
    <t>м. Миколаїв, провул. Полярний, 2 В</t>
  </si>
  <si>
    <t>вул. Знаменська, 51</t>
  </si>
  <si>
    <t>м. Миколаїв, вул. Знаменська, 51</t>
  </si>
  <si>
    <t>вул. Знаменська, 39</t>
  </si>
  <si>
    <t>м. Миколаїв, вул. Знаменська, 39</t>
  </si>
  <si>
    <t>вул. Райдужна, 55</t>
  </si>
  <si>
    <t>м. Миколаїв, вул. Райдужна, 55</t>
  </si>
  <si>
    <t>вул. Вокзальна, 61</t>
  </si>
  <si>
    <t>м. Миколаїв, вул. Вокзальна, 61</t>
  </si>
  <si>
    <t>вул. Вокзальна, 59</t>
  </si>
  <si>
    <t>м. Миколаїв, вул. Вокзальна, 59</t>
  </si>
  <si>
    <t>вул. В.Чорновола, 7</t>
  </si>
  <si>
    <t>м. Миколаїв, вул. В.Чорновола, 7</t>
  </si>
  <si>
    <t xml:space="preserve">вул. Космонавтів, 57 </t>
  </si>
  <si>
    <t xml:space="preserve">м. Миколаїв, вул. Космонавтів, 57 </t>
  </si>
  <si>
    <t>вул. Космонавтів, 86</t>
  </si>
  <si>
    <t>м. Миколаїв, вул. Космонавтів, 86</t>
  </si>
  <si>
    <t>вул. Космонавтів, 84</t>
  </si>
  <si>
    <t>м. Миколаїв, вул. Космонавтів, 84</t>
  </si>
  <si>
    <t>пр. Богоявленський, 35</t>
  </si>
  <si>
    <t>м. Миколаїв, пр. Богоявленський, 35</t>
  </si>
  <si>
    <t>вул. Олійника, 32</t>
  </si>
  <si>
    <t>м. Миколаїв, вул. Олійника, 32</t>
  </si>
  <si>
    <t>вул. Олійника, 30</t>
  </si>
  <si>
    <t>м. Миколаїв, вул. Олійника, 30</t>
  </si>
  <si>
    <t>вул. Новозаводська, 10</t>
  </si>
  <si>
    <t>м. Миколаїв, вул. Новозаводська, 10</t>
  </si>
  <si>
    <t>вул. Космонавтів, 74-а</t>
  </si>
  <si>
    <t>м. Миколаїв, вул. Космонавтів, 74-а</t>
  </si>
  <si>
    <t>вул. Космонавтів, 74</t>
  </si>
  <si>
    <t>м. Миколаїв, вул. Космонавтів, 74</t>
  </si>
  <si>
    <t>пр. Миру, 62</t>
  </si>
  <si>
    <t>м. Миколаїв, пр. Миру, 62</t>
  </si>
  <si>
    <t>пр. Миру, 60</t>
  </si>
  <si>
    <t>м. Миколаїв, пр. Миру, 60</t>
  </si>
  <si>
    <t>вул. Нагірна, 11</t>
  </si>
  <si>
    <t>м. Миколаїв, вул. Нагірна, 11</t>
  </si>
  <si>
    <t>вул. Космонавтів, 146 Б</t>
  </si>
  <si>
    <t>м. Миколаїв, вул. Космонавтів, 146 Б</t>
  </si>
  <si>
    <t>вул. Космонавтів, 146 В</t>
  </si>
  <si>
    <t>м. Миколаїв, вул. Космонавтів, 146 В</t>
  </si>
  <si>
    <t>вул. Космонавтів, 146 А</t>
  </si>
  <si>
    <t>м. Миколаїв, вул. Космонавтів, 146 А</t>
  </si>
  <si>
    <t>вул. 12 Поздовжня,47</t>
  </si>
  <si>
    <t>м. Миколаїв, вул. 12 Поздовжня,47</t>
  </si>
  <si>
    <t>вул. Театральна,51</t>
  </si>
  <si>
    <t>м. Миколаїв, вул. Театральна,51</t>
  </si>
  <si>
    <t>пр. Миру, 44</t>
  </si>
  <si>
    <t>м. Миколаїв, пр. Миру, 44</t>
  </si>
  <si>
    <t>пр. Миру, 58</t>
  </si>
  <si>
    <t>м. Миколаїв, пр. Миру, 56</t>
  </si>
  <si>
    <t>пр. Миру, 56</t>
  </si>
  <si>
    <t xml:space="preserve">м. Миколаїв, </t>
  </si>
  <si>
    <t>пр. Миру, 54</t>
  </si>
  <si>
    <t>м. Миколаїв, пр. Миру, 54</t>
  </si>
  <si>
    <t>вул. Вінграновського, 56</t>
  </si>
  <si>
    <t>м. Миколаїв, вул. Вінграновського, 56</t>
  </si>
  <si>
    <t>вул. Космонавтів, 104</t>
  </si>
  <si>
    <t>м. Миколаїв, вул. 295-ї Стрілецької Дивізії, 75-а</t>
  </si>
  <si>
    <t>вул. 295-ї Стрілецької Дивізії, 75-а</t>
  </si>
  <si>
    <t>вул. Погранична, 232</t>
  </si>
  <si>
    <t>м. Миколаїв, вул. Погранична, 232</t>
  </si>
  <si>
    <t>вул. Театральна, 47 А</t>
  </si>
  <si>
    <t>м. Миколаїв, вул. Театральна, 47 А</t>
  </si>
  <si>
    <t>вул. Миколаївська, 40</t>
  </si>
  <si>
    <t>м. Миколаїв, вул. Миколаївська, 40</t>
  </si>
  <si>
    <t>пр. Миру, 23 Б</t>
  </si>
  <si>
    <t>м. Миколаїв, пр. Миру, 23 Б</t>
  </si>
  <si>
    <t>пр. Миру, 23 А</t>
  </si>
  <si>
    <t>м. Миколаїв, пр. Миру, 23 А</t>
  </si>
  <si>
    <t>вул. Космонавтів, 140 В</t>
  </si>
  <si>
    <t>м. Миколаїв, вул. Космонавтів, 140 В</t>
  </si>
  <si>
    <t>вул. Космонавтів, 140 А</t>
  </si>
  <si>
    <t>м. Миколаїв, вул. Космонавтів, 140 А</t>
  </si>
  <si>
    <t>вул. Космонавтів, 140</t>
  </si>
  <si>
    <t>м. Миколаїв, вул. Космонавтів, 140</t>
  </si>
  <si>
    <t>вул. Космонавтів, 140 Б</t>
  </si>
  <si>
    <t xml:space="preserve">м. Миколаїв, вул. Космонавтів, 140 Б </t>
  </si>
  <si>
    <t>вул. Електронна, 70</t>
  </si>
  <si>
    <t xml:space="preserve">м. Миколаїв, вул. Електронна, 70 </t>
  </si>
  <si>
    <t>вул. Електронна, 68</t>
  </si>
  <si>
    <t>м. Миколаїв, вул. Електронна, 68</t>
  </si>
  <si>
    <t>вул. Електронна, 56</t>
  </si>
  <si>
    <t>м. Миколаїв, вул. Електронна, 56</t>
  </si>
  <si>
    <t>ФОП Канівченко В.Г.,ТОВ Голден-Буд</t>
  </si>
  <si>
    <t>вул. Космонавтів, 130 А</t>
  </si>
  <si>
    <t>м. Миколаїв, вул. Космонавтів, 130 А</t>
  </si>
  <si>
    <t>Реконструкція з термосанацією</t>
  </si>
  <si>
    <t>загальноосвітня школа  І-ІІІ ступенів № 45 за адресою: м. Миколаїв, вул. 4 Поздовжня, 58.</t>
  </si>
  <si>
    <t>м. Миколаїв, вул. 4 Поздовжня, 58.</t>
  </si>
  <si>
    <t>Експертний звіт від 27.12.2017 №15-0712-17</t>
  </si>
  <si>
    <t>загальноосвітня школа  І-ІІІ ступенів № 4 за адресою: м. Миколаїв, вул. Мала Морська, 78.</t>
  </si>
  <si>
    <t>м. Миколаїв, вул. Мала Морська, 78.</t>
  </si>
  <si>
    <t>гімназія № 4 за адресою: м. Миколаїв, вул. Лазурна, 48.</t>
  </si>
  <si>
    <t xml:space="preserve"> м. Миколаїв, вул. Лазурна, 48.</t>
  </si>
  <si>
    <t>загальноосвітня школа  І-ІІІ ступенів № 53 за адресою: м. Миколаїв, вул. Потьомкінська, 154.</t>
  </si>
  <si>
    <t>м. Миколаїв, вул. Потьомкінська, 154.</t>
  </si>
  <si>
    <t>загальноосвітня школа  І-ІІІ ступенів № 32 за адресою: м. Миколаїв, вул. Оберегова (Гайдара), 1.</t>
  </si>
  <si>
    <t>м. Миколаїв, вул. Оберегова (Гайдара), 1.</t>
  </si>
  <si>
    <t>загальноосвітня школа  І-ІІІ ступенів № 56 за адресою: м. Миколаїв, вул. Космонавтів, 138-А.</t>
  </si>
  <si>
    <t>м. Миколаїв, вул. Космонавтів, 138-А.</t>
  </si>
  <si>
    <t>загальноосвітня школа  І-ІІІ ступенів № 57 за адресою: м. Миколаїв, вул. Лазурна,46.</t>
  </si>
  <si>
    <t>м. Миколаїв, вул. Лазурна,46.</t>
  </si>
  <si>
    <t>дошкільний навчальний заклад № 5 за адресою: м. Миколаїв, вул. Колодязна, 41.</t>
  </si>
  <si>
    <t xml:space="preserve"> м. Миколаїв, вул. Колодязна, 41.</t>
  </si>
  <si>
    <t>дошкільний навчальний заклад № 148 за адресою: м. Миколаїв, вул. Чкалова, 80.</t>
  </si>
  <si>
    <t>м. Миколаїв, вул. Чкалова, 80.</t>
  </si>
  <si>
    <t>Експертний звіт від 31.01.2018 №109/17</t>
  </si>
  <si>
    <t>дошкільний навчальний заклад № 29 за адресою: м. Миколаїв, вул. Колодязна, 9.</t>
  </si>
  <si>
    <t xml:space="preserve"> м. Миколаїв, вул. Колодязна, 9.</t>
  </si>
  <si>
    <t>ТОВ "ЮЖНИЙ ГОРОД"</t>
  </si>
  <si>
    <t>загальноосвітня школа  І-ІІІ ступенів № 48 за адресою: м. Миколаїв, вул. Генерала Попеля,164.</t>
  </si>
  <si>
    <t xml:space="preserve"> м. Миколаїв, вул. Генерала Попеля,164.</t>
  </si>
  <si>
    <t>Експертний звіт від 31.01.2018 №124/17-М</t>
  </si>
  <si>
    <t>загальноосвітня школа  І-ІІІ ступенів № 29 за адресою: м. Миколаїв, вул. Гетьмана Сагайдачного (Ватутіна),124.</t>
  </si>
  <si>
    <t>м. Миколаїв, вул. Гетьмана Сагайдачного (Ватутіна),124.</t>
  </si>
  <si>
    <t>дитячий будинок сімейного типу за адресою: м. Миколаїв, вул. Надпрудна, 15.</t>
  </si>
  <si>
    <t>м. Миколаїв, вул. Надпрудна, 15.</t>
  </si>
  <si>
    <t>загальноосвітня школа  І-ІІІ ступенів № 44 за адресою: м. Миколаїв, вул. Знаменська, 2/6.</t>
  </si>
  <si>
    <t>м. Миколаїв, вул. Знаменська, 2/6.</t>
  </si>
  <si>
    <t>загальноосвітня школа І-ІІІ ступенів № 23 за адресою: м. Миколаїв, вул. Гарнізонна, 10.</t>
  </si>
  <si>
    <t xml:space="preserve"> м. Миколаїв, вул. Гарнізонна, 10.</t>
  </si>
  <si>
    <t>загальноосвітня школаІ-ІІІ ступенів № 16 за адресою: м. Миколаїв, вул. Горького (вул. Христо Ботєва), 41.</t>
  </si>
  <si>
    <t>м. Миколаїв, вул. Горького (вул. Христо Ботєва), 41.</t>
  </si>
  <si>
    <t>загальноосвітня школа І-ІІІ ступенів № 20 за адресою: м. Миколаїв, вул. Космонавтів, 70.</t>
  </si>
  <si>
    <t>м. Миколаїв, вул. Космонавтів, 70.</t>
  </si>
  <si>
    <t>ФОП Павлов А.А.</t>
  </si>
  <si>
    <t>загальноосвітня школа  І-ІІІ ступенів № 19 за адресою: м. Миколаїв,  вул. Передова, 11-А.</t>
  </si>
  <si>
    <t xml:space="preserve"> м. Миколаїв,  вул. Передова, 11-А.</t>
  </si>
  <si>
    <t>загальноосвітня школа І-ІІІ ступенів № 52 за адресою: м. Миколаїв,  вул. Крилова, 42.</t>
  </si>
  <si>
    <t>м. Миколаїв,  вул. Крилова, 42.</t>
  </si>
  <si>
    <t>дошкільний навчальний заклад № 144 за адресою: м. Миколаїв, вул. Океанівська, 42.</t>
  </si>
  <si>
    <t>м. Миколаїв, вул. Океанівська, 42.</t>
  </si>
  <si>
    <t>дошкільний навчальний заклад № 103 за адресою: м. Миколаїв, вул. Океанівська, 43.</t>
  </si>
  <si>
    <t>м. Миколаїв, вул. Океанівська, 43.</t>
  </si>
  <si>
    <t>дошкільний навчальний заклад № 141 за адресою: м. Миколаїв, пр.Г. Сталінграду (пр. Героїв України), 85-А .</t>
  </si>
  <si>
    <t xml:space="preserve"> м. Миколаїв, пр.Г. Сталінграду (пр. Героїв України), 85-А .</t>
  </si>
  <si>
    <t>Експертний звіт від 13.04.2018 №854-18Д</t>
  </si>
  <si>
    <t>загальноосвітня школа І-ІІІ ступенів № 14 за адресою: м. Миколаїв, вул. Вільна (Свободна), 38 .</t>
  </si>
  <si>
    <t>м. Миколаїв, вул. Вільна (Свободна), 38 .</t>
  </si>
  <si>
    <t>Експертний звіт від 25.01.2018 №ЕК-0530/12-17
ТОВ "Голден-Буд"</t>
  </si>
  <si>
    <t xml:space="preserve">загальноосвітня школа І-ІІІ ступенів №3 за адресою: м. Миколаїв, вул. Чкалова, 114. </t>
  </si>
  <si>
    <t xml:space="preserve">м. Миколаїв, вул. Чкалова, 114. </t>
  </si>
  <si>
    <t>Експертний звіт від 06.11.2017 №15-0580-17
ТОВ "ФАСАД-ЦЕНТР"
ФОП Мовенко С.Н.
ТОВ "ІНПРОЕКТБУД"</t>
  </si>
  <si>
    <t xml:space="preserve">перший корпус Миколаївської загальноосвітньої школи І-ІІІ ступенів №60 за адресою: м. Миколаїв, вул. Чорноморська, 1-а. </t>
  </si>
  <si>
    <t xml:space="preserve"> м. Миколаїв, вул. Чорноморська, 1-а. </t>
  </si>
  <si>
    <t>дошкільний навчальний заклад № 52 за адресою: м. Миколаїв, пров. Парусний, 7-Б.</t>
  </si>
  <si>
    <t xml:space="preserve"> м. Миколаїв, пров. Парусний, 7-Б.</t>
  </si>
  <si>
    <t xml:space="preserve">дошкільний навчальний заклад № 66 за адресою: м. Миколаїв, вул. Квітнева, 4. </t>
  </si>
  <si>
    <t xml:space="preserve"> м. Миколаїв, вул. Квітнева, 4. </t>
  </si>
  <si>
    <t>Експертний звіт від 26.04.2018 №4652/е/17</t>
  </si>
  <si>
    <t>дошкільний навчальний заклад № 87 за адресою: м. Миколаїв, вул. Привільна, 57.</t>
  </si>
  <si>
    <t>м. Миколаїв, вул. Привільна, 57.</t>
  </si>
  <si>
    <t>Експертний звіт від 20.12.2017 №15-0707-17</t>
  </si>
  <si>
    <t>дошкільний навчальний заклад № 123 за адресою: м. Миколаїв, вул. Радісна, 4.</t>
  </si>
  <si>
    <t>м. Миколаїв, вул. Радісна, 4.</t>
  </si>
  <si>
    <t>Експертний звіт від 13.12.2017 №15-0671-17</t>
  </si>
  <si>
    <t>дошкільний навчальний заклад № 106 за адресою: м. Миколаїв, пр. Богоявленський, 297.</t>
  </si>
  <si>
    <t xml:space="preserve"> м. Миколаїв, пр. Богоявленський, 297.</t>
  </si>
  <si>
    <t>Департамент енергетики, енергозбереження та запровадження інноваційних технологій Миколаївської міської ради</t>
  </si>
  <si>
    <t>Всього</t>
  </si>
  <si>
    <t>КП МКП "Капітальне будівництво міста Миколаєва"</t>
  </si>
  <si>
    <t>Нове будівництво тролейбусної лінії по вул. Лазурній та вул. Озерній у м. Миколаєві, у тому числі проектні роботи та експертиза</t>
  </si>
  <si>
    <t>КП ГПВ АПБ   ТОВ"Богард"</t>
  </si>
  <si>
    <t>Реконструкція скверу  «Манганарівський» («Пролетарський»),  обмеженого вулицями Адміральською - 1 Слобідською – Нікольською - Інженерною в Центральному районі м.Миколаєва,  у тому числі коригування проекту та експертиза</t>
  </si>
  <si>
    <t>Реконструкція житлового будинку по вул.Айвазовського,3 у м.Миколаєві, у тому числі коригування проектно-кошторисної документації та експертиза</t>
  </si>
  <si>
    <t>ТОВ "ВІК ПРОЕКТ"</t>
  </si>
  <si>
    <t>Нове будівництво каналізації по вул. 3 Воєнній (Сиваської дивізії) в Центральному районі м. Мик., у т.ч. коригування проекту та експертиза</t>
  </si>
  <si>
    <t xml:space="preserve">ПрАТ"БК ЖИТЛОПРОМБУД-8"  </t>
  </si>
  <si>
    <t>лік.нас.під.с.Гор.-будівн.др.к. д.зах.в.під.с.Гор.м.Мик.</t>
  </si>
  <si>
    <t xml:space="preserve">ПП "Зодчий" </t>
  </si>
  <si>
    <t>кориг.ПКД та пр.екс.з відш.вит."Нове буд.світл.об.в м.Мик.в.Космонавт.ріг в.Турбін."</t>
  </si>
  <si>
    <t>кориг.ПКД та пр.екс.з відш.вит."Нове буд.світл.об.в м.Мик.в.Троїцькій ріг в.Новозав."</t>
  </si>
  <si>
    <t>МКП "Миколаївводоканал"</t>
  </si>
  <si>
    <t>Кап.рем.кааліз.колект. Д-1400мм"в.Лескова від в.Смдорчука до в.Богородича(прот.485п/м), авар.-відбудовні роб.(Аванс)</t>
  </si>
  <si>
    <t>ФОП ГРИГОРЕНКО Д.С.</t>
  </si>
  <si>
    <t>ПКДта пр.екс.з пос.відш.вит.К.р.сп.-ігр.майд."Котиг."на р.в.Обсерв.та в.Ад.Макар. м.Мик."</t>
  </si>
  <si>
    <t>ТОВ"Електрім-2000"</t>
  </si>
  <si>
    <t>ПКД та пр.екс.Роб.пр.по об."Кап.рем. елект.част.мост.перех.ч/з р.Інгул в м.Мик."</t>
  </si>
  <si>
    <t>ПКД та пр.екс.Роб.пр.по об. "Кап.рем. елект.част.мост.перех. ч/з р.Інгул в м.Мик."</t>
  </si>
  <si>
    <t xml:space="preserve">ТОВ "Проект-Комплект Строй" </t>
  </si>
  <si>
    <t>ПКД"Кап.рем.мосту через Вітов.балку по пр.Богоявленськ. в Кор.р-ні.м.Мик."</t>
  </si>
  <si>
    <t>ПКД"Кап.рем.штуч.спор.через Вітов.балку по в.Степова в Кор.р-ні.м.Мик."</t>
  </si>
  <si>
    <t>УК у Миколаїв/ м.Миколаїв/22012</t>
  </si>
  <si>
    <t xml:space="preserve">за сертифікат зг.пост.КМУ від 13.04.11 №461(адр.об.-пл.Соборна в м.Мик.) </t>
  </si>
  <si>
    <t>ППКФ"СНЕЙЛ"</t>
  </si>
  <si>
    <t>пров.топо-геод.зйом.по об.Кап.рем.п.-пам. сад.-парк.мист."Парк Пер."в Ц.р. м.Мик</t>
  </si>
  <si>
    <t>пров.топо-геод.зйом.по об.Кап. рем.п.-пам. сад.-парк.мист."Парк Пер."в Ц.р. м.Мик</t>
  </si>
  <si>
    <t xml:space="preserve">Технагляд </t>
  </si>
  <si>
    <t>ФОП Мігунова І.І.</t>
  </si>
  <si>
    <t>ПКД та пр.експ.з відш.Кап.рем.окр.вуз.обл.тепл.вводу в ж/б м.Мик.</t>
  </si>
  <si>
    <t xml:space="preserve">Югтепломер-Сервіс </t>
  </si>
  <si>
    <t>кап.рем.окр.вуз.обл.тепл.ввод.ж/б в.Потьомкін.,155</t>
  </si>
  <si>
    <t>кап.рем.окр.вуз.обл.тепл.ввод.ж/б в.Потьомкін.,141 м.Мик.</t>
  </si>
  <si>
    <t>кап.рем.окр.вуз.обл.тепл.ввод.ж/б в.Космонавт.,77-а м.Мик.</t>
  </si>
  <si>
    <t>кап.рем.окр.вуз.обл.тепл.ввод.ж/б в.Космонавт.,122</t>
  </si>
  <si>
    <t xml:space="preserve">ТОВ "НІК-ИНСЕРВІС" </t>
  </si>
  <si>
    <t>кап.рем.окр.вуз.обл.тепл.ввод.в ж/б по вул.Арх.Старого,2-Б в мМик.</t>
  </si>
  <si>
    <t>кап.рем.окр.вуз.обл.тепл.ввод.в ж/б по вул.Адміральська,19 в мМик.</t>
  </si>
  <si>
    <t>кап.рем.окр.вуз.обл.тепл.ввод.ж/б, в.Г.Карп.,2/1 м.Мик.(без пуск.роб.)</t>
  </si>
  <si>
    <t>кап.рем.окр.вуз.обл.тепл.вводу в ж/б в.Миколаївська,9 м.Мик.</t>
  </si>
  <si>
    <t>кап.рем.окр.вуз.обл.тепл.вводу в ж/б в.Артилерійська,10 м.Мик.(без пуск.роб.)</t>
  </si>
  <si>
    <t>кап.рем.окр.вуз.обл.тепл.ввод.ж/б вул.Ходирєва,16 м.Мик.</t>
  </si>
  <si>
    <t>кап.рем.окр.вуз.обл.тепл.ввод.ж/б вул.Декабристів,4м.Мик.</t>
  </si>
  <si>
    <t>кап.рем.окр.вуз.обл.тепл.ввод.ж/б вул.Крилова,13 м.Мик.</t>
  </si>
  <si>
    <t xml:space="preserve">ТОВ "Светолюкс-Електромонтаж" </t>
  </si>
  <si>
    <t>ПКД та пров.екс.з відш.витр. Кап.р.мер.зов.осв. в.Ост.Виш, в.в.Янт.до в.Стан.в Кор.р. м.Мик.</t>
  </si>
  <si>
    <t xml:space="preserve">ТОВ "Проект-Комплект" </t>
  </si>
  <si>
    <t>Авт.наг.К.р.м.з.ос.пер.пр.Бог. в.Мет,в.Ок,в.Пр,в.Тор,в.Ост.В.,пр.Бал.м.Мик.</t>
  </si>
  <si>
    <t>Авт.К.р.м.з.ос.пер. пр.Цен,в.Буз. в.Пуш.в.Фал.в.Дек.в.Соб.в.Мос.в.М.Мор.в.Інж. м.Мик</t>
  </si>
  <si>
    <t>пкд К.р.м.з.ос.пер. пр.Цен,в.Буз. в.Пуш.в.Фал.в.Дек.в.Соб.в.Мос.в.М.Мор.в.Інж. м.Мик</t>
  </si>
  <si>
    <t>ТОВ "ГАЛЕД Україна"</t>
  </si>
  <si>
    <t>кап.рем.м.зов.ос.пер.пр.Цен. в.Б,в.П,в.Ф,в.Д,в.С,в.Мос,в.М.Мор.в.Ін.мМик</t>
  </si>
  <si>
    <t>кап.рем.м.зов.ос.пер.пр.Бог. в.Мет,в.Ок,в.Пр,в.Тор,в.Нов,пр.Б.м.Мик.;</t>
  </si>
  <si>
    <t>кап.рем.м.зов.ос.пер.пр.Бог. в.Мет,в.Ок,в.Пр,в.Тор,в.Нов,пр.Б.м.Мик.</t>
  </si>
  <si>
    <t xml:space="preserve"> </t>
  </si>
  <si>
    <t>кап.рем.вуз.та обл.ліфт. ж/б пр.Гер. Укр.,103(пасаж.,вантажопас.) м.Мик.</t>
  </si>
  <si>
    <t xml:space="preserve">           
ТОВ"ЦЕНТРЛІФТ"                </t>
  </si>
  <si>
    <t>кап.рем.вуз.та обл.ліфт. ж/б вул.Новозаводс.,2-а(л.А) м.Мик.</t>
  </si>
  <si>
    <t>кап.рем.вуз.та обл.ліфт. ж/б вул.Казарського,5-а(п.2) м.Мик.</t>
  </si>
  <si>
    <t>кап.рем.вуз.та обл.ліфт. ж/б вул.12Поздовжня,3(п.1) м.Мик.</t>
  </si>
  <si>
    <t>кап.рем.вуз.та обл.ліфт. ж/б вул.Архіт. Старова,10-г(п.1) м.Мик.за03.18р.</t>
  </si>
  <si>
    <t>ТОВ МАНАХ НИКСТРОЙ</t>
  </si>
  <si>
    <t>кап.рем.м"як.покр.ж/б по вул.Лазурна,38А в м.Мик.</t>
  </si>
  <si>
    <t>кап.рем.покр.ж/б по вул.Леваневців,10 м.Мик.</t>
  </si>
  <si>
    <t>кап.рем.м'як.покр.ж/б по пр.Богоявленському,325/3,м.Мик.</t>
  </si>
  <si>
    <t>ТОВ"ПРАЙМЕРІ-БУД"</t>
  </si>
  <si>
    <t>кап.рем.сист.опал.з вст.ІТП ж/б№18по в.Г.Петров.,м.Мик.</t>
  </si>
  <si>
    <t>кап.рем.сист.опал.з вст.ІТП ж/б№16по в.Г.Петров., м.Мик.</t>
  </si>
  <si>
    <t xml:space="preserve">          
ТОВ"Південьторгмонтаж"    </t>
  </si>
  <si>
    <t>кап.рем.мер.водоп.та водовід.баг.кв. ж/б по в.Чкалова,82а,м.Мик.</t>
  </si>
  <si>
    <t>кап.рем.покрівлі ж/б по в.Космонавтів,148Г м.Мик.</t>
  </si>
  <si>
    <t>кап.рем.скатн.покр.ж/б вул.Спаська,6 м.Мик.</t>
  </si>
  <si>
    <t>кап.рем.покрівлі ж/б по в.Вінграновського,56 м.Мик.</t>
  </si>
  <si>
    <t>кап.рем.покр.6-ти під.9-ти пов.ж/б пров.Парусний11, м.Мик.</t>
  </si>
  <si>
    <t xml:space="preserve">           
ТОВ"ФАСАД-ЦЕНТР"              </t>
  </si>
  <si>
    <t>кап.рем.покрівлі ж/б по пр.Миру,44 м.Мик.за02.18р.БезПДВ.</t>
  </si>
  <si>
    <t xml:space="preserve"> ТОВ"СТРОЙ-ТОС" </t>
  </si>
  <si>
    <t>кап.рем.ск.покрівлі ж/б по вул.В.Морська,65 в м.Мик.</t>
  </si>
  <si>
    <t>кап.рем.покрівлі ж/б по пр.Миру,25-А м.Мик.</t>
  </si>
  <si>
    <t>кап.рем.покрівлі ж/б по в.Адміральська,12 м.Мик.</t>
  </si>
  <si>
    <t xml:space="preserve">           
ТОВ"ДІ КОР-БУД"               </t>
  </si>
  <si>
    <t>кап.рем.покрівлі ж/б по пр.Богоявленс.,39 м.Мик.за03.18р,</t>
  </si>
  <si>
    <t>кап.рем.покрівлі ж/б по пр.Богоявленс.,39 м.Мик.</t>
  </si>
  <si>
    <t xml:space="preserve">ТОВ"СПІК МК" </t>
  </si>
  <si>
    <t xml:space="preserve">кап.рем.покр.ж/б по пр.Централ.,22А м.Мик </t>
  </si>
  <si>
    <t xml:space="preserve">кап.рем.скат.покр.ж/б по в.Миколаївськ.,11 м.Мик </t>
  </si>
  <si>
    <t xml:space="preserve">кап.рем.покр.ж/б по пр.Централ.,22Б м.Мик </t>
  </si>
  <si>
    <t>кап.рем.покр.ж/б ОСББ"Адм.Макар.-14"по в.Адм.Макар,14 м.Мик.</t>
  </si>
  <si>
    <t>кап.рем.скат.покр.ж/б в.Олійника,32 м.Мик.</t>
  </si>
  <si>
    <t xml:space="preserve">кап.рем.покр.ж/б по в.Чайковськ.,31 м.Мик </t>
  </si>
  <si>
    <t xml:space="preserve">ТОВ Будтехнологія-МК </t>
  </si>
  <si>
    <t>кап.рем.покрівлі ж/б по в.Январьова,28 м.Мик.</t>
  </si>
  <si>
    <t>кап.рем.покрівлі ж/б по в.Космонавтів,80 м.Мик.</t>
  </si>
  <si>
    <t xml:space="preserve">ТОВ "Трендком" </t>
  </si>
  <si>
    <t>кап.рем.зовн.та внутр.ел.мер.ж/б 1-ша в.Слобід.,122/3 м.Мик.</t>
  </si>
  <si>
    <t>ТОВ "Светолюкс-Електромонтаж"</t>
  </si>
  <si>
    <t>Кап.рем.електр.мер.ж/б пр.Богоявленський, 340/1 м.Мик.</t>
  </si>
  <si>
    <t>ФОП РУДЗIК Р.Д.</t>
  </si>
  <si>
    <t>Авт.нагл.Кап.рем.покр.ж/б по пр.Богоявл.,39 в м.Мик.</t>
  </si>
  <si>
    <t>Авт.нагл.Кап.рем.покр.ж/б вул.Садова,18 в м.Мик.</t>
  </si>
  <si>
    <t>ПКД та пр.експ.Кап.рем.покр.ж/б в.Дунаєва,39 м.Мик.</t>
  </si>
  <si>
    <t>Авт.нагл.Кап.рем.покр.ж/б вул.Шевченка,41 м.Мик.</t>
  </si>
  <si>
    <t>ФОП Марухняк Є.М.</t>
  </si>
  <si>
    <t>Авт.нагл.Кап.рем.покр.6-ти під. 9-ти пов.ж/б пров.Парусний,11 м.Мик.</t>
  </si>
  <si>
    <t>ФОП Ігнатьєва Ю. О.</t>
  </si>
  <si>
    <t>Авт.нагл.Кап.рем.м"як..покр.ж/б пр.Богоявленськ.,6 м.Мик.</t>
  </si>
  <si>
    <t>Авт.нагл.Кап.рем.скат.покр.ж/б вул.Олійника,32 м.Мик.</t>
  </si>
  <si>
    <t>Авт.нагл.Кап.рем.скат.покр.ж/б вул.Миколаївська,11 м.Мик.</t>
  </si>
  <si>
    <t xml:space="preserve">ФОП Чечуй С. В. </t>
  </si>
  <si>
    <t>ПКД та пр.експ.Кап.рем.м"як.покр.ж/б пр.Корабелів,5 м.Мик.</t>
  </si>
  <si>
    <t>ПКД та пр.експ.Кап.рем.м"як.покр.ж/б в.Будівельн.12 м.Мик.</t>
  </si>
  <si>
    <t>ФОП ПАВЛIНОВ Ю.О.</t>
  </si>
  <si>
    <t>ПКД та пров.експ.Кап.рем.м"як.покр.ж/б в.Космонавт.,138-Г м.Мик.</t>
  </si>
  <si>
    <t xml:space="preserve">              
ФОП Новіков О. П.           </t>
  </si>
  <si>
    <t>ПКД"Кап.рем.із заміни вікон сход.клітин ж/б м.Мик."</t>
  </si>
  <si>
    <t>ПКД"Кап.рем.вуз.та обл.ліфт.у ж/б м.Мик."</t>
  </si>
  <si>
    <t xml:space="preserve">ФОП Новіков О. П. </t>
  </si>
  <si>
    <t>ПКД та пров.експ.Кап.рем.покр.ж/б в.Чкалова,212-Б м.Мик.</t>
  </si>
  <si>
    <t>ПКД та пров.експ.Кап.рем.покр.ж/б в.Сінна,33-Б м.Мик.</t>
  </si>
  <si>
    <t>ПКД та пров.експ.Кап.рем.покр.ж/б в.Чкалова,212-А м.Мик.</t>
  </si>
  <si>
    <t>ПКД "Модерніз.вузл.та облад.ліфт.ж/б в.Декабристів,25(п.1) м.Мик.</t>
  </si>
  <si>
    <t xml:space="preserve">ТОВ"Ніковіта-Сервіс" </t>
  </si>
  <si>
    <t>ПКД Кап.рем.сист.зовн.каналіз.ж/б в.Адмір.Макарова,16 м.Мик.</t>
  </si>
  <si>
    <t>ПКД та пров.експ.Кап.рем.покр.ж/б в.Новобудівна,1 м.Мик.</t>
  </si>
  <si>
    <t xml:space="preserve">         
ТОВ "Проект-комплект"         </t>
  </si>
  <si>
    <t>ПКД та пр.екс.з пос.від.вит.К.р.сит.вод.,кан.та вим.ж/б пр.Гер.Укр.,12м.Мик.</t>
  </si>
  <si>
    <t>ПКД та пр.екс.з пос.від.вит. К.р.сит.вод.,кан.та вим.ж/б пр.Гер.Укр.,12м.Мик.</t>
  </si>
  <si>
    <t>кап.рем.ел.мер.багатокв.ж/б пр.Центр.,22 м.Мик.</t>
  </si>
  <si>
    <t>ПКД Кап.рем.ел.мереж багатокв.ж/б в.Озерна,12 м.Мик.</t>
  </si>
  <si>
    <t>ПКД Кап.рем.ел.мереж багатокв.ж/б в.Шосейна,58 м.Мик.</t>
  </si>
  <si>
    <t xml:space="preserve">ТОВ "СтройМирИндастриз"  </t>
  </si>
  <si>
    <t>кап.рем.гуртожитку по пр.Богоявленс.,309 м.Мик.</t>
  </si>
  <si>
    <t xml:space="preserve">              
ТОВ "Проект-комплект"         </t>
  </si>
  <si>
    <t>Авт.нагл.Кап.рем.сист.водоп.канал.та вим.ж/б пр.Гер.України,12м.Мик.</t>
  </si>
  <si>
    <t>ПКД та пров.експ.з посл.відш.вит.КАП.р .покр.ж/б пр.Центральн.,22б м.Мик.</t>
  </si>
  <si>
    <t>ПКД та пров.експ.з посл.відш. вит.К.р.покр.ж/б в.Безімен.74 м.Мик.</t>
  </si>
  <si>
    <t>ПКД та пров.експ.з посл.відш.вит. К.р.покр.ж/б в.Терасна,3 м.Мик.</t>
  </si>
  <si>
    <t>ПКД та пров.експ.з посл.відш. вит.К.р.покр.ж/б в.Безімен.97 м.Мик.</t>
  </si>
  <si>
    <t xml:space="preserve">ТОВ "Проект-Комплект Строй"   </t>
  </si>
  <si>
    <t>ПКД та в.експ.по К.р.ж/б в.Георг.Гонгадзе,30(Пар.Ком.30)м.Мик.</t>
  </si>
  <si>
    <t>ПКД та вик.експ. Кап.рем.ж.б.по вул.Космонавтів,98 м.Мик.</t>
  </si>
  <si>
    <t>ПКД та пров.експ.з посл.відш.вит. К.р.покр.ж/б в.Безіменна,78 м.Мик.</t>
  </si>
  <si>
    <t>ПКД та пров.експ.з посл.відш.вит. К.р.покр.ж/б в.Нікольс.16 м.Мик.</t>
  </si>
  <si>
    <t>ПКД та пров.експ.з посл.відш.вит. К.р.покр.ж/б в.Нікольс.16/18м.Мик.</t>
  </si>
  <si>
    <t>ПКД та пров.експ.з посл.відш. вит.К.р. покр.ж/б в.Нікольс.16/18м.Мик.</t>
  </si>
  <si>
    <t xml:space="preserve">       
ТОВ"АВТОБІОЛЮКС"             </t>
  </si>
  <si>
    <t>кап.рем. ж/б по вул.Заводська,1, корп.,2 м.Мик.</t>
  </si>
  <si>
    <t>кап.рем.м"як.покр.ж/б по вул.Космонавт.,138-г м.Мик.</t>
  </si>
  <si>
    <t xml:space="preserve">кап.рем.м"як.покр.ж/б по пр.Богоявленський,6 </t>
  </si>
  <si>
    <t xml:space="preserve">              
КП"МИКОЛАЇВЛIФТ"              </t>
  </si>
  <si>
    <t>модерніз.вузл.та облад. ліф.ж/б,в.Декабристів,25(п.1) м.Мик.</t>
  </si>
  <si>
    <t>кап.післяек.рем.вуз.та обл.ліфт.ж/б в.8 Березня,71(п.1,п.2,п.3,п.4) м.Мик.</t>
  </si>
  <si>
    <t>Департамент житлово-комунального господарства Миколаївської міської ради</t>
  </si>
  <si>
    <t xml:space="preserve">Разом </t>
  </si>
  <si>
    <t>заміна системи опалення</t>
  </si>
  <si>
    <t>Реставрація  будівлі СДЮШОр з фехтування(заміна системи опалення)  по вул.Пушкінська11  в м.Миколаїві в т.ч. проетні роботи та експертиза</t>
  </si>
  <si>
    <t>вул.Спортивна 1/1  м.Миколаїв</t>
  </si>
  <si>
    <t>ПП "Реалбудсервіс-транс":  КП ММР  "Капітальне будівництво"</t>
  </si>
  <si>
    <t>укладання штучного покриття</t>
  </si>
  <si>
    <t>Будівництво спортивного майданчика КДЮСШ "Комунарівець"за адресою пр.Героїв України 2/4 в м.Миколаєві в т.ч. проектні роботи та експертиза</t>
  </si>
  <si>
    <t>пр.Героїв України 2/4 м.Миколаїв</t>
  </si>
  <si>
    <t>ТОВ " міленіум Спорт"</t>
  </si>
  <si>
    <t xml:space="preserve"> на футбольмоу полі установлення табло,навісу, трибун,  перенесення щита ЩС-0,4кВ,установка зовнішнього контуру заземлення,енергозабезпечення насосоної, дренаж  поля, зливна  каналізація, поливочний водопровід,</t>
  </si>
  <si>
    <t>Нове будівництво футбольного поля №1 (тренувального)  Центрального міського стадіону по вул.Спортивна 1/1 в м.Миколаєві  у т.ч. проектні роботи та експертиза</t>
  </si>
  <si>
    <t xml:space="preserve">Всього </t>
  </si>
  <si>
    <t>ФОП Павлінов Ю.О.</t>
  </si>
  <si>
    <t>заміна електроосвітлення,водосточних труб,улаштування підлоги та кокрівлі,внутрішне опорядження,зовнішне оздоблення.</t>
  </si>
  <si>
    <t>Капітальний ремонт веслувальної бази спортивної зали ШВСМ</t>
  </si>
  <si>
    <t>вул.2 Екіпажна  245 м.Миколаїв</t>
  </si>
  <si>
    <t xml:space="preserve">улаштування  підлоги, оздоблювальні роботи, зовнішне оздоблення, фарбування покрівлі , вмонтовання обладнання  в роздягальні  В-1  з  вбудованою топковою </t>
  </si>
  <si>
    <t>Капітальний ремонт роздягальні(В-1) з вбудованою топковою Центрального міського стадіону</t>
  </si>
  <si>
    <t>ТОВ Ді КОР-БУД"</t>
  </si>
  <si>
    <t xml:space="preserve">відновлення стін,  улаштування перегородок, внутрішне опорядження, заміна каналізації, установка насосів та кондиціонерів, монтаж  опалення, монтаж вентиляції, монтаж радіофікації, монтаж телефонізації та відеоспостереження, монтаж обладнання. </t>
  </si>
  <si>
    <t>Капітальний ремонт адміністративної будівлі Центрального міського стадіону</t>
  </si>
  <si>
    <t>утеплення стін, ремонт даху,</t>
  </si>
  <si>
    <t>Капітальний ремонт частини будівлі ДЮСШ №7</t>
  </si>
  <si>
    <t>вул.Скульптора Ізмалкова 132а м.Миколаїв</t>
  </si>
  <si>
    <t>ТОВ "Компанія Нікон-Буд";    КП ММР "Капітальне будівництво"</t>
  </si>
  <si>
    <t>ремонт спортивної зали та роздягалень</t>
  </si>
  <si>
    <t>Капітальний ремонт приміщення СДЮШОР №6</t>
  </si>
  <si>
    <t>вул.Олійника 11а м.Миколаїв</t>
  </si>
  <si>
    <t>демонтаж та монтаж покрівлі, стін,   віконних  та дверних блоків, утеплення фундаменту , зовнішне та внутрішне  устаткування.</t>
  </si>
  <si>
    <t>Капітальний ремонт приміщеняя тренажерного залу ДЮСШ №5</t>
  </si>
  <si>
    <t>пр.Богоявленський 253 а /1  м.Миколаїв</t>
  </si>
  <si>
    <t xml:space="preserve">ТОВ "Компанія Нікон-Буд";    </t>
  </si>
  <si>
    <t>монтування  трибун, доріжок та туалету</t>
  </si>
  <si>
    <t>Капітальний ремонт трибун дворового туалету  та госпордарських приміщень  стадіону " Колос" ДЮСШ №3</t>
  </si>
  <si>
    <t>вул.Світанкова 1 м.Миколаїв</t>
  </si>
  <si>
    <t>ТОВ "Ласкардо";  КП ММР " Капітальне будівництво"</t>
  </si>
  <si>
    <t>установлення освітлення та  штучного покриття</t>
  </si>
  <si>
    <t>Капітальний ремонт футбольного майданчика із штучним покритям ДЮСШ №3</t>
  </si>
  <si>
    <t>вул.Погранична 45 м.миколавї</t>
  </si>
  <si>
    <t>установка фіртону</t>
  </si>
  <si>
    <t>Капітальний ремонт огорожі  ДЮСШ №3</t>
  </si>
  <si>
    <t xml:space="preserve"> Ремонт (рестравраційний)-заміна системи опалення будівлі  СДЮЩОР з фехтування, установка автономного опалення</t>
  </si>
  <si>
    <t xml:space="preserve">Капітальний ремонт системи опалення СДЮШОР з фехтування </t>
  </si>
  <si>
    <t>вул.Пушкінська 11м.Миколаїв</t>
  </si>
  <si>
    <t>Управління у справах фізичної культури і спорту Миколаївської міської ради</t>
  </si>
  <si>
    <t>ТОВ "Антарес-БУД"</t>
  </si>
  <si>
    <t>Капітальний ремонт споруди, благоустрій прилеглої території</t>
  </si>
  <si>
    <t>Капітальний ремонт споруди "Корабель" з басейном та благоустроєм прилеглої території  в БУ КІК "ДМ "Казка" по вул.Декабристів,38-а в м.Миколаєві, в т.ч. проектно-вишукувальні роботи та експертиза.</t>
  </si>
  <si>
    <t>м. Миколаїв, вул. Декабристів, 38-а</t>
  </si>
  <si>
    <t>Капітальний ремонт споруди "Водойом" (каскадний басейн) з благоустроєм прилеглої території у БУ  КІК "ДМ "Казка" по вул.Декабристів,38-а в м.Миколаєві, в т.ч. проектно-вишукувальні роботи та експертиза.</t>
  </si>
  <si>
    <t>згідно рішення суду по справі № 915/263/18 від 05.06.18</t>
  </si>
  <si>
    <t>витрати згідно судового провадження</t>
  </si>
  <si>
    <t xml:space="preserve">Капітальний ремонт теплотраси Миколаївського міського палацу культури "Корабельний" , в т.ч.проектно-вишукувальні роботи та експертиза </t>
  </si>
  <si>
    <t>м. Миколаїв, пр.Богоявленський, 328</t>
  </si>
  <si>
    <t xml:space="preserve">ТОВ "Південьторгмонтаж" </t>
  </si>
  <si>
    <t xml:space="preserve">Ремонт малої зали після усунення аварійного стану даху. (оздоблення стін, ремонт підлоги, ремонт сцени, заміна вікон, електромонтажні роботи) </t>
  </si>
  <si>
    <t xml:space="preserve">Капітальний ремонт малого залу  "Миколаївського міського палацу культури "Корабельний" за адресою: м.Миколаїв, пр.Богоявленський, 328" в т.ч. проектно-вишукувальні роботи та експертиза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</si>
  <si>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Виготовлення проектно-кошторисної документації</t>
  </si>
  <si>
    <t>Капітальний ремонт бібліотеки-філіалу № 21  ЦМБ  ім. М.Л. Кропивницького Центральної бібліотечної системи для дорослих, в т.ч. виготовлення проектно-кошторисної документації та експертиза</t>
  </si>
  <si>
    <t>м.Миколаїв, вул. Силікатна, 174</t>
  </si>
  <si>
    <t>ТОВ "Тавріямонолітбуд"</t>
  </si>
  <si>
    <t>заміна вітражів, вхідних дверей, ремонт фасаду, ганку, пандусу</t>
  </si>
  <si>
    <t>Капітальний ремонт у бібліотеці-філії №8 ЦМБ для дітей ім.Ш.Кобера і В.Хоменко за адресою: п. Корабелів, 12 у м.Миколаєві, в т.ч. виготовлення проектно-кошторисної документації та експертиза</t>
  </si>
  <si>
    <t xml:space="preserve">м.Миколаїв, п. Корабелів, 12 </t>
  </si>
  <si>
    <t>ТОВ "ЖИТЛОРЕМБУД-НІКА"</t>
  </si>
  <si>
    <t>Заміна вікон, 3х зовнішніх дверних блоків, заміна світильників із заміною електрощитів, утеплення стін та гідроізоляція будівлі школи</t>
  </si>
  <si>
    <t xml:space="preserve">Капітальний ремонт будівлі дитячої музичної школи №5 за адресою: м.Миколаїв, вул. Дачна, 50, в т.ч. виготовлення проектно-кошторисної документації та експертиза </t>
  </si>
  <si>
    <t>м.Миколаїв, вул. Дачна, 50</t>
  </si>
  <si>
    <t>Реконструкція Дитячої школи мистецтва №1 (добудова концертної зали) по вул.Сергія Цвєтка, 17 в м.Миколаєві, в т.ч. проектно-вишукувальні роботи та експертиза</t>
  </si>
  <si>
    <t xml:space="preserve">м. Миколаїв, вул.Сергія Цвєтка, 17 </t>
  </si>
  <si>
    <t>ТОВ "Ді Кор-Буд"</t>
  </si>
  <si>
    <t>Реставраційні роботи, посилення конструкцій перекриття між 1-м та 2-м поверхами. Оздоблювальні роботи. Завершення початих у 2017 році робіт.</t>
  </si>
  <si>
    <t>Реставрація пам’ятки історії  місцевого значення, в якій навчався Ш. Кобер -дитяча музична школа №8 по вул. 1 Госпітальна,1 в м.Миколаєві (першочергові протиаварійні роботи), в т.ч. проектно-вишукувальні роботи та експертиза</t>
  </si>
  <si>
    <t>м. Миколаїв, вул. 1 Госпітальна, 1</t>
  </si>
  <si>
    <t>ПрАТ "БК"Житлопромбуд-8"</t>
  </si>
  <si>
    <t>Коригування проектно-кошторисної документації, початок реконструкції палацу культури</t>
  </si>
  <si>
    <t>Реконструкція Миколаївського міського палацу культури "Молодіжний" по вулиці Театральній, 1 у м.Миколаїв, в т.ч. проектно-вишукувальні роботи та експертиза</t>
  </si>
  <si>
    <t>м.Миколаїв, вул. Театральна, 1</t>
  </si>
  <si>
    <t>Роботи з демонтажу, переобладнання приміщень, оздоблювальні роботи, влаштування гідроізоляції, встановлення пожежної сигналізації, вентиляції, встановлення системи електроопалення . Придбання супутніх матеріалів, обладнання та устаткування. Коригування проектно-кошторисної документації</t>
  </si>
  <si>
    <t>Реконструкція павільйону-кафе з підвалом під культурно-ігровий павільйон в БУ ММР КІК "ДМ "Казка" по вул.Декабристів,38-а в м.Миколаєві, в т.ч. проектно-вишукувальні роботи та експертиза.</t>
  </si>
  <si>
    <t>Управління з питань культури та охорони  культурної спадщини Миколаївської міської ради</t>
  </si>
  <si>
    <t>ТОВ "Миколаївбуд"</t>
  </si>
  <si>
    <t>Квартира інваліда війни Волошина В.І.</t>
  </si>
  <si>
    <t>м.Миколаїв вул. Лазурна, 16 Г,кв.14</t>
  </si>
  <si>
    <t>ТОВ "Фаворит - Люкс"</t>
  </si>
  <si>
    <t xml:space="preserve"> Будинок інваліда війни Васильєва В.Ф.</t>
  </si>
  <si>
    <t>М.Миколаїв вул. Сінна (Будьоного),74</t>
  </si>
  <si>
    <t>Департамент праці та соціального захисту населення Миколаївської міської ради</t>
  </si>
  <si>
    <t xml:space="preserve">Реконструкція системи опалення з встановленням електричних котлів потужністю 360 кВт в Міському пологовому будинку №2 по вул. Будівельників,8 у м. Миколаєві, у тому числі проектно-кошторисна документація та експертиза </t>
  </si>
  <si>
    <t>м.Миколаїв                     вул. Будівельників,8</t>
  </si>
  <si>
    <t>«Реконструкція сімейної амбулаторії  №4 по вул. Чкалова,93 центра первинної медико-санітарної допомоги №3 в м.Миколаєві,  у т.ч.  проектні роботи та експертиза»</t>
  </si>
  <si>
    <t>м.Миколаїв                     вул. Чкалова,93</t>
  </si>
  <si>
    <t>ТОВ "Н.Проет-Тайм"; ТОВ "Антарес-Буд"</t>
  </si>
  <si>
    <t>Реконструкція; коригування проекту</t>
  </si>
  <si>
    <t>«Реконструкція існуючого  будинку (літ. Н-1 автоклавна-кафе) під розміщення травматологічного пункту МЛШМД за адресою: вул. Корабелів, 14-в, м. Миколаїв, т.ч. проектні роботи та експертиза»</t>
  </si>
  <si>
    <t>м.Миколаїв вул. Корабелів, 14-в</t>
  </si>
  <si>
    <t>ТОВ "Миколаївміськбуд"</t>
  </si>
  <si>
    <t>«Реконструкція приміщення під розміщення сімейної амбулаторії №1 КЗ ММР "ЦПМСД №5" за адресами вул. Привільна, 41/1 та вул. Привільна,41/3 в м. Миколаєві, в тому числі проектно-кошторисна документація та експертиза»</t>
  </si>
  <si>
    <t xml:space="preserve">м. Миколаїв вул.Привільна,41/1, вул. Привільна 41/3 </t>
  </si>
  <si>
    <t>ТОВ "МОНАРХ СТРОЙ"; ТОВ "Ласкардо"; ФОП Щербаченя О.В.</t>
  </si>
  <si>
    <t>Будівельні роботи, виготовлення проекту, авторський та технічний нагляд</t>
  </si>
  <si>
    <t xml:space="preserve">Капітальний ремонт сімейної амбулаторії КЗ ММР «ЦПМСД №1» </t>
  </si>
  <si>
    <t>м. Миколаїв, пров. 1 Шосейний, 1</t>
  </si>
  <si>
    <t xml:space="preserve">Управління охорони здоров'я Миколаївської міської ради  </t>
  </si>
  <si>
    <t>ТОВ "Гідроавтоматизація-Південь"</t>
  </si>
  <si>
    <t>Виготовлення ПКД реконструкції спортивного майданчика (волейбольний, баскетбольний, тенісний) Миколаївської загальноосвітньої школи І-ІІІ ступенів №16 Миколаївської міської ради по вул. Христо Ботєва, 41 у м. Миколаєві (Громадський бюджет №0007)</t>
  </si>
  <si>
    <t>Миколаївська загальноосвітня школа І-ІІІ ступенів №16 Миколаївської міської ради Миколаївської області</t>
  </si>
  <si>
    <t>м.Миколаїв, вул. Горького, 41</t>
  </si>
  <si>
    <t>Реконструкція спортивного майданчика (волейбольний, баскетбольний, тенісний) Миколаївської загальноосвітньої школи І-ІІІ ступенів №16 Миколаївської міської ради по вул. Христо Ботєва, 41 у м. Миколаєві, в т.ч. проектно-вишукувальні робти та експертиза (Громадський бюджет №0007)</t>
  </si>
  <si>
    <t>Реконструкція шкільного футбольного поля розміром 42х22м за європейськими критеріями якості з облаштуванням штучного покриття ЗОШ №53 по вул.Потьомкінській, 154 у м. Миколаєві, в т.ч. проектно-вишукувальні роботи та експертиза (Громадський бюджет №0035)</t>
  </si>
  <si>
    <t>Миколаївська загальноосвітня школа І-ІІІ ступенів №53 Миколаївської міської ради Миколаївської області</t>
  </si>
  <si>
    <t>м.Миколаїв, вул. Потьомкінська, 154</t>
  </si>
  <si>
    <t>Будівництво баскетбольного майданчика гімназії №4 по вул.Лазурній,48 у м. Миколаєві, в т.ч. проектно-вишукувальні роботи та експертиза (Громадський бюджет №0058)</t>
  </si>
  <si>
    <t>Миколаївська гімназія №4</t>
  </si>
  <si>
    <t>м.Миколаїв, вул. Лазурна, 48</t>
  </si>
  <si>
    <t>Товариство з обмеженою відповідальністю «Ді Кор-Буд»</t>
  </si>
  <si>
    <t>Реконструкція будівлі ( для забезпечення інклюзивної форми навчання) МСШ МіПР «Академія дитячої творчості» по вул.Олійника,36 у м.Миколаєві, в т.ч. проектно-вишукувальні роботи та експертиза</t>
  </si>
  <si>
    <t>Миколаївська спеціалізована школа І- ІІІ ступенів мистецтв і прикладних ремесел експериментальний навчальний заклад всеукраїнського рівня «Академія дитячої творчості»
Миколаївської міської ради Миколаївської області</t>
  </si>
  <si>
    <t>м.Миколаїв, вул. Олійника, 36</t>
  </si>
  <si>
    <t>Колективне науково-виробниче підприємство “Тріботехніка”</t>
  </si>
  <si>
    <t>Будівництво навчальних приміщень для розвитку творчого потенціалу учнів з інклюзивною формою навчання МСШ "Академія дитячої творчості" за адресою: 54034, м. Миколаїв, вул. Олійника, 36, в т.ч. проектно-вишукувальні роботи та експертиза</t>
  </si>
  <si>
    <t>Реконструкція покрівлі ЗОШ №64, вул.Архітектора Старова, 6-Г у м.Миколаєві, у т.ч. проектно-вишукувальні роботи та експертиза</t>
  </si>
  <si>
    <t>Миколаївська загальноосвітня школа І-ІІІ ступенів №64 Миколаївської міської ради Миколаївської області</t>
  </si>
  <si>
    <t>м.Миколаїв, вул. Архітектора Старова, 6 Г</t>
  </si>
  <si>
    <t>Нове будівництво котельні  ЗОШ № 45 по вул.4-ій Поздовжній, 58, у м.Миколаєві, в т.ч. проектно-вишукувальні роботи  та експертиза</t>
  </si>
  <si>
    <t>Миколаївська загальноосвітня школа І-ІІІ ступенів №45 Миколаївської міської ради Миколаївської області</t>
  </si>
  <si>
    <t>м.Миколаїв, вул. 4-а Повздовжня, 58</t>
  </si>
  <si>
    <t>Реконструкція спортивного майданчику ЗОШ № 44 по вул. Знаменській,2/6 у м.Миколаєві, в т.ч. проектно-вишукувальні роботи та експертиза</t>
  </si>
  <si>
    <t>Миколаївська загальноосвітня школа І-ІІІ ступенів №44 Миколаївської міської ради Миколаївської області</t>
  </si>
  <si>
    <t>54037
м. Миколаїв, вул.Знаменська, 2/б</t>
  </si>
  <si>
    <t>Реконструкція покрівлі ЗОШ №40 по вул.Металургів, 97/1  у м.Миколаєві, у  т.ч.проектно-вишукувальні роботи та експертиза</t>
  </si>
  <si>
    <t>Миколаївська загальноосвітня школа І-ІІІ ступенів №40 Миколаївської міської ради Миколаївської області</t>
  </si>
  <si>
    <t>м.Миколаїв, вул. Металургів, 96/1</t>
  </si>
  <si>
    <t>ТОВ "МИКОЛАЇВМІСЬКБУД"</t>
  </si>
  <si>
    <t>Реконструкція з прибудовою ЗОШ № 36 по вул. Чигрина, 143 у м.Миколаєві  в т.ч. проектно-вишукувальні роботи та експертиза</t>
  </si>
  <si>
    <t>Миколаївська загальноосвітня школа І-ІІІ ступенів №36 Миколаївської міської ради Миколаївської області</t>
  </si>
  <si>
    <t>54055
м. Миколаїв, вул.Погранична, 143</t>
  </si>
  <si>
    <t>Придбання нежитлової будівлі за адресою: вул.Космонавтів, 144 – а / 1 у м.Миколаєві</t>
  </si>
  <si>
    <t>Дошкільний навчальний заклад №15</t>
  </si>
  <si>
    <t xml:space="preserve">м. Миколаїв вул.Космонавтів, 144 – а / 1 </t>
  </si>
  <si>
    <t>КНВП "Тріботехніка"</t>
  </si>
  <si>
    <t>капітальний ремонт будівлі Палацу творчості учнів по вул. Адміральській, 31 м.Миколаєва</t>
  </si>
  <si>
    <t>Палац творчості учнів м. Миколаїва</t>
  </si>
  <si>
    <t>м.Миколаїв, вул. Адміральська, 31</t>
  </si>
  <si>
    <t>ТОВ "Компанія Нікон-Буд"</t>
  </si>
  <si>
    <t xml:space="preserve"> капітальний ремонт покрівлі БТДЮ Інгульского району по вул. Космонавтів,128-а у м. Миколаєві</t>
  </si>
  <si>
    <t xml:space="preserve">Будинок творчості дітей та юнацтва Інгульського району </t>
  </si>
  <si>
    <t>54028
м. Миколаїв
вул. Космонавтів, 128А</t>
  </si>
  <si>
    <t xml:space="preserve"> коригування ПКД по капітальному ремонту покрівлі БТДЮ Інгульского району по вул. Космонавтів,128-а у м. Миколаєві</t>
  </si>
  <si>
    <t xml:space="preserve">технагляд по  капітальному ремонту  спортивного майданчику ММК (філія) по вул. Потьомкінській, 147-А у м.Миколаєві     </t>
  </si>
  <si>
    <t>Миколаївський муніципальний колегіум імені Володимира Дмитровича Чайки Миколаївської міської ради Миколаївської області</t>
  </si>
  <si>
    <t>54003
м. Миколаїв,                       вул. Потьомкінська, 147-А</t>
  </si>
  <si>
    <t>ФОП Парулава Є.З.</t>
  </si>
  <si>
    <t xml:space="preserve">ПД по капітальному ремонту спортивного майданчика ММК (філія) по вул Потьомкінській, 147-А у м.Миколаєві  </t>
  </si>
  <si>
    <t>54003
м. Миколаїв, вул.Потьомкінська, 147-А</t>
  </si>
  <si>
    <t xml:space="preserve"> капітальний ремонт  спортивного майданчику ММК (філія) по вул. Потьомкінській, 147-А у м.Миколаєві     </t>
  </si>
  <si>
    <t>Капітальний ремонт спортивного майданчику ЗОШ №61 по вул.Матросова,2   у м.Миколаєві</t>
  </si>
  <si>
    <t>Миколаївська загальноосвітня школа І-ІІІ ступенів № 61
Миколаївської міської ради Миколаївської області</t>
  </si>
  <si>
    <t>54036
м. Миколаїв
вул. Олександра Матросова, 2</t>
  </si>
  <si>
    <t>корегування ПКД по проекту :Капітальний ремонт спортивного майданчику ЗОШ №61 по вул.Матросова,2 у м.Миколаєві</t>
  </si>
  <si>
    <t>ТОВ Південьбуд Миколаїв ЛТД</t>
  </si>
  <si>
    <t xml:space="preserve">капітальний ремонт спортзалу ЗОШ № 60 по вул. Чорноморська, 1 у м.Миколаєві                                                                                     </t>
  </si>
  <si>
    <t>Миколаївська загальноосвітня школа І-ІІІ ступенів № 60 Миколаївської міської ради Миколаївської області</t>
  </si>
  <si>
    <t>54036
м. Миколаїв
вул.Чорноморська,1а</t>
  </si>
  <si>
    <t>ФОП Зубик А.В.</t>
  </si>
  <si>
    <t xml:space="preserve">ПКД по капітальному ремонту спортзалу ЗОШ № 60 по вул. Чорноморська, 1 у м.Миколаєві    </t>
  </si>
  <si>
    <t>Миколаївська загальноосвітня школа І-ІІІ ступенів №60 Миколаївської міської ради Миколаївської області</t>
  </si>
  <si>
    <t>54030
м. Миколаїв, вул.Нікольська, 6</t>
  </si>
  <si>
    <t>Капітальний ремонт актової зали ЗОШ №54 по пр. Корабелів 10-Б  у м.Миколаєві, в т.ч. проектно-вишукувальні роботи та експертиза</t>
  </si>
  <si>
    <t>Миколаївська загальноосвітня школа І-ІІІ ступенів № 54 Миколаївської міської ради Миколаївської області</t>
  </si>
  <si>
    <t>54052
м. Миколаїв
пр.  Корабелів, 10</t>
  </si>
  <si>
    <t>ТОВ "Будівельна компанія "Контакт-Жилбуд"</t>
  </si>
  <si>
    <t xml:space="preserve"> капітальний ремонт будівлі ЗОШ № 54 по пр.Корабелів, 10 б  у м.Миколаєві                                                     </t>
  </si>
  <si>
    <t xml:space="preserve">технагляд по  капітальному ремонту будівлі ЗОШ № 54 по пр.Корабелів, 10 б  у м.Миколаєві                                                </t>
  </si>
  <si>
    <t>технічний нагляд за виконанням робіт по капітальному ремонту будівлі ЗОШ№51 у м.Миколаєві</t>
  </si>
  <si>
    <t>Миколаївська загальноосвітня школа І-ІІІ ступенів № 51 Миколаївської міської ради Миколаївської області</t>
  </si>
  <si>
    <t>54025
м. Миколаїв
пров.  Парусний, 3</t>
  </si>
  <si>
    <t>ТОВ "Житлорембуд - Ніка"</t>
  </si>
  <si>
    <t xml:space="preserve"> капітальний ремонт будівлі ЗОШ № 51 по пер.Парусному, 3А у м.Миколаєві    </t>
  </si>
  <si>
    <t>технічний нагляд за виконанням робіт по капітальному ремонту огорожі ЗОШ№44 по вул.Знаменська,2/6 в м.Миколаєві</t>
  </si>
  <si>
    <t>ТОВ "Будівельна компанія "Інтербуд"</t>
  </si>
  <si>
    <t xml:space="preserve">капітальний ремонт огорожі ЗОШ № 44 по вул. Знаменська, 2/6 у м.Миколаєві                                                     </t>
  </si>
  <si>
    <t xml:space="preserve">технагляд по капітальному  ремонту  покрівлі ЗОШ № 39 по вул. Нікольська, 6 у м.Миколаєві                                                       </t>
  </si>
  <si>
    <t>Миколаївська  загальноосвітня школа І-ІІІ ступенів № 39 Миколаївської міської ради Миколаївської області</t>
  </si>
  <si>
    <t>54030
м. Миколаїв
вул. Нікольська, 6</t>
  </si>
  <si>
    <t>ТОВ "Автобіолюкс"</t>
  </si>
  <si>
    <t xml:space="preserve">капітальний ремонт покрівлі ЗОШ № 39 по вул. Нікольська, 6 у м.Миколаєві                                                       </t>
  </si>
  <si>
    <t>Миколаївська загальноосвітня школа І-ІІІ ступенів № 39
Миколаївської міської ради Миколаївської області</t>
  </si>
  <si>
    <t>МФІ "НДІпроектреконструкція"</t>
  </si>
  <si>
    <t xml:space="preserve"> авторський нагляд по капітальному  ремонту будівлі  ЗОШ № 36 по вул.Погранична , 143 у м.Миколаєві (коригування)                                           </t>
  </si>
  <si>
    <t>ТОВ "Електрим-2000"</t>
  </si>
  <si>
    <t xml:space="preserve"> капітальний  ремонт будівлі  ЗОШ № 36 по вул.Погранична (Чигрина), 143 у м.Миколаєві                                               </t>
  </si>
  <si>
    <t xml:space="preserve">технагляд по капітальному  ремонту будівлі  ЗОШ № 36 по вул.Погранична (Чигрина), 143 у м.Миколаєві                                               </t>
  </si>
  <si>
    <t>ТОВ " Промбут 2 "</t>
  </si>
  <si>
    <t xml:space="preserve">оплата по капітальний  ремонт будівлі  ЗОШ № 36 по вул.Погранична (Чигрина), 143 у м.Миколаєві                                               </t>
  </si>
  <si>
    <t xml:space="preserve">технагляд по капітальному ремонту будівлі ЗОШ №25 по вул.Защука, 2а у м.Миколаєві                        </t>
  </si>
  <si>
    <t>Миколаївська загальноосвітня школа І-ІІІ ступенів № 25 Миколаївської міської ради Миколаївської області</t>
  </si>
  <si>
    <t>54020                              м. Миколаїв                        вул.Защука, 2А</t>
  </si>
  <si>
    <t xml:space="preserve">капітальний ремонт будівлі ЗОШ №25 по вул.Защука, 2а у м.Миколаєві                        </t>
  </si>
  <si>
    <t xml:space="preserve">технагляд по капітальному ремонту огорожі ЗОШ № 20 по вул. Космонавтів, 70 у м.Миколаєві                                                   </t>
  </si>
  <si>
    <t>Миколаївська загальноосвітня школа І-ІІІ ступенів № 20 Миколаївської міської ради Миколаївської області</t>
  </si>
  <si>
    <t>54056
м. Миколаїв
вул. Космонавтів, 70</t>
  </si>
  <si>
    <t xml:space="preserve">капітальний ремонт огорожі ЗОШ № 20 по вул. Космонавтів, 70 у м.Миколаєві                                                   </t>
  </si>
  <si>
    <t>капітальний ремонут будівлі ЗОШ № 13 по прт. Центральний, 84 у м.Миколаєві                                                                                                                                      ( рах. № СФ-0000205 від 16.07.18)</t>
  </si>
  <si>
    <t>Миколаївська загальноосвітня школа І-ІІІ ступенів №13 Миколаївської міської ради Миколаївської області</t>
  </si>
  <si>
    <t>54017
м. Миколаїв, прт. Центральний, 84</t>
  </si>
  <si>
    <t xml:space="preserve">технагляд по капітальному  ремонту харчоблоку ЗОШ № 12 по вул. 1-й Екіпажний (Урицького), 2 у м.Миколаїв                                       </t>
  </si>
  <si>
    <t>Миколаївська загальноосвітня школа І-ІІІ ступенів №12 Миколаївської міської ради Миколаївської області</t>
  </si>
  <si>
    <t>54039
м. Миколаїв,                                                          вул. 1-ша Екіпажна, 2</t>
  </si>
  <si>
    <t xml:space="preserve"> капітальний ремонт харчоблоку ЗОШ № 12 по вул. 1-й Екіпажний (Урицького), 2 у м.Миколаїв                                                </t>
  </si>
  <si>
    <t>Капітальний ремонт спортивного майданчику ЗОШ №11 по вул. Китобоїв, 3 у м. Миколаєві, в т.ч. проектно-вишукувальні роботи та експертиза</t>
  </si>
  <si>
    <t>Миколаївська загальноосвітня школа І-ІІІ ступенів №11 Миколаївської міської ради Миколаївської області</t>
  </si>
  <si>
    <t xml:space="preserve">м.Миколаїв,                                                                                          вул. Китобоїв, 3 </t>
  </si>
  <si>
    <t xml:space="preserve">технагляд по капітальному ремонту спортивного майданчику ЗОШ № 3 по вул. Чкалова, 114 в м.Миколаєві                                        </t>
  </si>
  <si>
    <t>Миколаївська загальноосвітня школа І-ІІІ ступенів №3 Миколаївської міської ради Миколаївської області</t>
  </si>
  <si>
    <t>54003
м. Миколаїв, вул.Чкалова, 114</t>
  </si>
  <si>
    <t xml:space="preserve"> капітальний ремонт спортивного майданчику ЗОШ № 3 по вул. Чкалова, 114 у м.Миколаєві                                    </t>
  </si>
  <si>
    <t>Капітальний ремонт будівлі ДНЗ №139 по вул.Артема 28-а , ум.Миколаєві, в т.ч. проектно-вишукувальні роботи та експертиз</t>
  </si>
  <si>
    <t>Дошкільний навчальний заклад № 139</t>
  </si>
  <si>
    <t>м. Миколаїв, вул. Артема, 28 А</t>
  </si>
  <si>
    <t>ТОВ "АСКАНІЯ ХОЛ"</t>
  </si>
  <si>
    <t xml:space="preserve">капітальний ремонт внутрішнього дворового твердого покриття та облаштування водостоків ДНЗ № 128 м.Миколаєва         </t>
  </si>
  <si>
    <t>Дошкільний навчальний заклад № 128 «Сонечко» м.Миколаєва</t>
  </si>
  <si>
    <t>54001                                   м. Миколаїв                        вул. Макарова, 62-а</t>
  </si>
  <si>
    <t>Капітальний ремонт будівлі ДНЗ №72 М. Корениха, вул. Молдавська, 9 у м. Миколаєві, в т.ч. проектно-вишукувальні роботи та експертиза</t>
  </si>
  <si>
    <t>Дошкільний навчальний заклад №72</t>
  </si>
  <si>
    <t>м. Миколаїв, вул. Молдавська, 9</t>
  </si>
  <si>
    <t>ТОВ МІК "Інвестбуд"</t>
  </si>
  <si>
    <t xml:space="preserve">капітальний ремонт покрівлі ДНЗ № 52 по пров. Парусному, 7-б у м.Миколаєві   </t>
  </si>
  <si>
    <t>Дошкільний навчальний заклад № 52 «Маяк» м.Миколаєва</t>
  </si>
  <si>
    <t>54025                                                                                        м. Миколаїв                        пров. Парусний, 7-б</t>
  </si>
  <si>
    <t>Управління освіти Миколаївської міської ради</t>
  </si>
  <si>
    <t>ФОП Новіков</t>
  </si>
  <si>
    <t>Послуги з виготовлення ПКД (капремонт ліфту)</t>
  </si>
  <si>
    <t>адмінбудівля</t>
  </si>
  <si>
    <t>Вул. Адміральська, 20</t>
  </si>
  <si>
    <t>Виконавчий комітет  Миколаївської міської ради</t>
  </si>
  <si>
    <t>Виконано</t>
  </si>
  <si>
    <t>Заплановано на період з початку року з урахуванням змін</t>
  </si>
  <si>
    <t xml:space="preserve">Заплановано на рік з урахуванням змін
</t>
  </si>
  <si>
    <t>Виконавець робіт/послуг (підрядник)</t>
  </si>
  <si>
    <t>Сума, тис. грн. (з трьома дес.знаками)</t>
  </si>
  <si>
    <t>Види робіт</t>
  </si>
  <si>
    <t>Назва об'єкту</t>
  </si>
  <si>
    <t>Адреса</t>
  </si>
  <si>
    <t xml:space="preserve">Інформація про виконання капітальних  ремонтів, будівництва, реконструкції, реставрації доріг, внутрішньоквартальних проїздів, дахів, будівель і споруд та ін. за  9 місяців 2018 року по міському бюджету м. Миколаєва в розрізі головних розпорядників коштів 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</si>
</sst>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#,##0.00_ ;\-#,##0.00\ "/>
    <numFmt numFmtId="167" formatCode="#,##0.00000"/>
  </numFmts>
  <fonts count="2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63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8" fillId="0" borderId="0"/>
    <xf numFmtId="0" fontId="18" fillId="0" borderId="0"/>
    <xf numFmtId="0" fontId="18" fillId="0" borderId="0"/>
  </cellStyleXfs>
  <cellXfs count="336">
    <xf numFmtId="0" fontId="0" fillId="0" borderId="0" xfId="0"/>
    <xf numFmtId="0" fontId="1" fillId="0" borderId="0" xfId="0" applyFont="1"/>
    <xf numFmtId="0" fontId="1" fillId="0" borderId="0" xfId="0" applyFont="1" applyFill="1"/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2" fillId="0" borderId="0" xfId="0" applyFont="1"/>
    <xf numFmtId="0" fontId="2" fillId="0" borderId="0" xfId="0" applyFont="1" applyFill="1"/>
    <xf numFmtId="165" fontId="3" fillId="0" borderId="1" xfId="0" applyNumberFormat="1" applyFont="1" applyFill="1" applyBorder="1" applyAlignment="1">
      <alignment horizontal="center" vertical="top"/>
    </xf>
    <xf numFmtId="164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0" fontId="2" fillId="0" borderId="1" xfId="0" applyFont="1" applyFill="1" applyBorder="1"/>
    <xf numFmtId="164" fontId="3" fillId="0" borderId="1" xfId="0" applyNumberFormat="1" applyFont="1" applyFill="1" applyBorder="1" applyAlignment="1">
      <alignment horizontal="right" vertical="top"/>
    </xf>
    <xf numFmtId="165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164" fontId="4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left" vertical="top" wrapText="1"/>
    </xf>
    <xf numFmtId="165" fontId="4" fillId="0" borderId="4" xfId="0" applyNumberFormat="1" applyFont="1" applyFill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center" vertical="top"/>
    </xf>
    <xf numFmtId="164" fontId="5" fillId="0" borderId="2" xfId="0" applyNumberFormat="1" applyFont="1" applyFill="1" applyBorder="1" applyAlignment="1">
      <alignment horizontal="center" vertical="top" wrapText="1"/>
    </xf>
    <xf numFmtId="164" fontId="5" fillId="0" borderId="3" xfId="0" applyNumberFormat="1" applyFont="1" applyFill="1" applyBorder="1" applyAlignment="1">
      <alignment horizontal="center" vertical="top"/>
    </xf>
    <xf numFmtId="164" fontId="5" fillId="0" borderId="3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/>
    </xf>
    <xf numFmtId="165" fontId="4" fillId="0" borderId="4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166" fontId="5" fillId="0" borderId="2" xfId="0" applyNumberFormat="1" applyFont="1" applyFill="1" applyBorder="1" applyAlignment="1">
      <alignment horizontal="left" vertical="center" wrapText="1"/>
    </xf>
    <xf numFmtId="166" fontId="5" fillId="0" borderId="4" xfId="0" applyNumberFormat="1" applyFont="1" applyFill="1" applyBorder="1" applyAlignment="1">
      <alignment horizontal="left" vertical="center" wrapText="1"/>
    </xf>
    <xf numFmtId="165" fontId="4" fillId="0" borderId="3" xfId="0" applyNumberFormat="1" applyFont="1" applyFill="1" applyBorder="1" applyAlignment="1">
      <alignment horizontal="left" vertical="top" wrapText="1"/>
    </xf>
    <xf numFmtId="165" fontId="4" fillId="0" borderId="1" xfId="0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Fill="1"/>
    <xf numFmtId="165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/>
    <xf numFmtId="0" fontId="7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165" fontId="1" fillId="0" borderId="4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165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165" fontId="1" fillId="0" borderId="1" xfId="0" applyNumberFormat="1" applyFont="1" applyFill="1" applyBorder="1" applyAlignment="1">
      <alignment vertical="top"/>
    </xf>
    <xf numFmtId="165" fontId="1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top" wrapText="1"/>
    </xf>
    <xf numFmtId="165" fontId="9" fillId="0" borderId="0" xfId="0" applyNumberFormat="1" applyFont="1" applyFill="1" applyAlignment="1">
      <alignment vertical="top"/>
    </xf>
    <xf numFmtId="0" fontId="0" fillId="2" borderId="0" xfId="0" applyFill="1" applyAlignment="1"/>
    <xf numFmtId="0" fontId="0" fillId="0" borderId="0" xfId="0" applyFill="1" applyAlignment="1"/>
    <xf numFmtId="0" fontId="10" fillId="0" borderId="0" xfId="0" applyFont="1" applyFill="1" applyAlignment="1"/>
    <xf numFmtId="0" fontId="1" fillId="0" borderId="1" xfId="0" applyFont="1" applyFill="1" applyBorder="1"/>
    <xf numFmtId="165" fontId="5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165" fontId="1" fillId="0" borderId="2" xfId="0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wrapText="1"/>
    </xf>
    <xf numFmtId="165" fontId="1" fillId="0" borderId="4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164" fontId="1" fillId="0" borderId="1" xfId="0" applyNumberFormat="1" applyFont="1" applyFill="1" applyBorder="1"/>
    <xf numFmtId="4" fontId="5" fillId="0" borderId="2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wrapText="1"/>
    </xf>
    <xf numFmtId="4" fontId="5" fillId="0" borderId="3" xfId="0" applyNumberFormat="1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wrapText="1"/>
    </xf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/>
    <xf numFmtId="165" fontId="1" fillId="0" borderId="2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165" fontId="1" fillId="0" borderId="3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0" fontId="14" fillId="0" borderId="0" xfId="0" applyFont="1"/>
    <xf numFmtId="0" fontId="14" fillId="0" borderId="0" xfId="0" applyFont="1" applyFill="1"/>
    <xf numFmtId="165" fontId="15" fillId="0" borderId="1" xfId="0" applyNumberFormat="1" applyFont="1" applyFill="1" applyBorder="1" applyAlignment="1">
      <alignment horizontal="center"/>
    </xf>
    <xf numFmtId="165" fontId="15" fillId="0" borderId="1" xfId="0" applyNumberFormat="1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left" wrapText="1"/>
    </xf>
    <xf numFmtId="165" fontId="16" fillId="0" borderId="1" xfId="0" applyNumberFormat="1" applyFont="1" applyFill="1" applyBorder="1"/>
    <xf numFmtId="0" fontId="5" fillId="0" borderId="1" xfId="0" applyFont="1" applyFill="1" applyBorder="1" applyAlignment="1">
      <alignment horizontal="left" wrapText="1"/>
    </xf>
    <xf numFmtId="165" fontId="16" fillId="0" borderId="1" xfId="0" applyNumberFormat="1" applyFont="1" applyFill="1" applyBorder="1" applyAlignment="1">
      <alignment wrapText="1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165" fontId="17" fillId="0" borderId="1" xfId="0" applyNumberFormat="1" applyFont="1" applyFill="1" applyBorder="1" applyAlignment="1">
      <alignment horizontal="center" wrapText="1"/>
    </xf>
    <xf numFmtId="164" fontId="17" fillId="0" borderId="1" xfId="0" applyNumberFormat="1" applyFont="1" applyFill="1" applyBorder="1" applyAlignment="1">
      <alignment horizontal="center"/>
    </xf>
    <xf numFmtId="165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/>
    <xf numFmtId="0" fontId="16" fillId="0" borderId="1" xfId="0" applyFont="1" applyFill="1" applyBorder="1" applyAlignment="1">
      <alignment vertical="top" wrapText="1"/>
    </xf>
    <xf numFmtId="165" fontId="16" fillId="0" borderId="4" xfId="0" applyNumberFormat="1" applyFont="1" applyFill="1" applyBorder="1" applyAlignment="1">
      <alignment wrapText="1"/>
    </xf>
    <xf numFmtId="165" fontId="16" fillId="0" borderId="4" xfId="0" applyNumberFormat="1" applyFont="1" applyFill="1" applyBorder="1"/>
    <xf numFmtId="165" fontId="9" fillId="0" borderId="4" xfId="0" applyNumberFormat="1" applyFont="1" applyFill="1" applyBorder="1"/>
    <xf numFmtId="0" fontId="5" fillId="0" borderId="4" xfId="0" applyFont="1" applyFill="1" applyBorder="1" applyAlignment="1">
      <alignment wrapText="1"/>
    </xf>
    <xf numFmtId="0" fontId="16" fillId="0" borderId="6" xfId="0" applyFont="1" applyFill="1" applyBorder="1" applyAlignment="1">
      <alignment vertical="top" wrapText="1"/>
    </xf>
    <xf numFmtId="165" fontId="16" fillId="0" borderId="7" xfId="0" applyNumberFormat="1" applyFont="1" applyFill="1" applyBorder="1" applyAlignment="1">
      <alignment wrapText="1"/>
    </xf>
    <xf numFmtId="165" fontId="16" fillId="0" borderId="7" xfId="0" applyNumberFormat="1" applyFont="1" applyFill="1" applyBorder="1"/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wrapText="1"/>
    </xf>
    <xf numFmtId="0" fontId="16" fillId="0" borderId="10" xfId="0" applyFont="1" applyFill="1" applyBorder="1" applyAlignment="1">
      <alignment vertical="top" wrapText="1"/>
    </xf>
    <xf numFmtId="165" fontId="16" fillId="0" borderId="10" xfId="0" applyNumberFormat="1" applyFont="1" applyFill="1" applyBorder="1" applyAlignment="1">
      <alignment wrapText="1"/>
    </xf>
    <xf numFmtId="165" fontId="16" fillId="0" borderId="10" xfId="0" applyNumberFormat="1" applyFont="1" applyFill="1" applyBorder="1"/>
    <xf numFmtId="0" fontId="5" fillId="0" borderId="11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165" fontId="16" fillId="0" borderId="13" xfId="0" applyNumberFormat="1" applyFont="1" applyFill="1" applyBorder="1"/>
    <xf numFmtId="0" fontId="16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5" fillId="0" borderId="19" xfId="1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165" fontId="16" fillId="0" borderId="23" xfId="0" applyNumberFormat="1" applyFont="1" applyFill="1" applyBorder="1" applyAlignment="1">
      <alignment wrapText="1"/>
    </xf>
    <xf numFmtId="0" fontId="5" fillId="0" borderId="24" xfId="0" applyFont="1" applyFill="1" applyBorder="1" applyAlignment="1">
      <alignment wrapText="1"/>
    </xf>
    <xf numFmtId="165" fontId="16" fillId="0" borderId="25" xfId="0" applyNumberFormat="1" applyFont="1" applyFill="1" applyBorder="1" applyAlignment="1">
      <alignment wrapText="1"/>
    </xf>
    <xf numFmtId="165" fontId="16" fillId="0" borderId="25" xfId="0" applyNumberFormat="1" applyFont="1" applyFill="1" applyBorder="1"/>
    <xf numFmtId="165" fontId="9" fillId="0" borderId="2" xfId="0" applyNumberFormat="1" applyFont="1" applyFill="1" applyBorder="1"/>
    <xf numFmtId="0" fontId="5" fillId="0" borderId="26" xfId="0" applyFont="1" applyFill="1" applyBorder="1" applyAlignment="1">
      <alignment wrapText="1"/>
    </xf>
    <xf numFmtId="0" fontId="16" fillId="0" borderId="25" xfId="0" applyFont="1" applyFill="1" applyBorder="1" applyAlignment="1">
      <alignment vertical="top" wrapText="1"/>
    </xf>
    <xf numFmtId="165" fontId="1" fillId="0" borderId="4" xfId="0" applyNumberFormat="1" applyFont="1" applyFill="1" applyBorder="1" applyAlignment="1">
      <alignment wrapText="1"/>
    </xf>
    <xf numFmtId="0" fontId="16" fillId="0" borderId="7" xfId="0" applyFont="1" applyFill="1" applyBorder="1" applyAlignment="1">
      <alignment vertical="top" wrapText="1"/>
    </xf>
    <xf numFmtId="0" fontId="5" fillId="0" borderId="0" xfId="0" applyFont="1" applyFill="1"/>
    <xf numFmtId="0" fontId="1" fillId="0" borderId="1" xfId="0" applyFont="1" applyFill="1" applyBorder="1" applyAlignment="1">
      <alignment wrapText="1"/>
    </xf>
    <xf numFmtId="165" fontId="5" fillId="0" borderId="10" xfId="0" applyNumberFormat="1" applyFont="1" applyFill="1" applyBorder="1" applyAlignment="1">
      <alignment wrapText="1"/>
    </xf>
    <xf numFmtId="165" fontId="5" fillId="0" borderId="10" xfId="0" applyNumberFormat="1" applyFont="1" applyFill="1" applyBorder="1"/>
    <xf numFmtId="165" fontId="19" fillId="0" borderId="1" xfId="0" applyNumberFormat="1" applyFont="1" applyFill="1" applyBorder="1"/>
    <xf numFmtId="0" fontId="5" fillId="0" borderId="1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/>
    <xf numFmtId="0" fontId="21" fillId="0" borderId="0" xfId="0" applyFont="1" applyFill="1"/>
    <xf numFmtId="164" fontId="6" fillId="0" borderId="27" xfId="0" applyNumberFormat="1" applyFont="1" applyFill="1" applyBorder="1" applyAlignment="1">
      <alignment horizontal="center" vertical="center" wrapText="1"/>
    </xf>
    <xf numFmtId="164" fontId="6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left" vertical="center" wrapText="1"/>
    </xf>
    <xf numFmtId="164" fontId="5" fillId="0" borderId="27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10" fillId="0" borderId="0" xfId="0" applyFont="1"/>
    <xf numFmtId="0" fontId="10" fillId="0" borderId="0" xfId="0" applyFont="1" applyFill="1"/>
    <xf numFmtId="0" fontId="5" fillId="0" borderId="28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 vertical="center"/>
    </xf>
    <xf numFmtId="164" fontId="5" fillId="0" borderId="2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justify" vertical="center" wrapText="1"/>
    </xf>
    <xf numFmtId="164" fontId="5" fillId="0" borderId="30" xfId="0" applyNumberFormat="1" applyFont="1" applyFill="1" applyBorder="1" applyAlignment="1">
      <alignment horizontal="center" vertical="center" wrapText="1"/>
    </xf>
    <xf numFmtId="164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wrapText="1"/>
    </xf>
    <xf numFmtId="0" fontId="6" fillId="0" borderId="28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Fill="1"/>
    <xf numFmtId="2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top" wrapText="1"/>
    </xf>
    <xf numFmtId="0" fontId="5" fillId="0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9" xfId="2" applyNumberFormat="1" applyFont="1" applyFill="1" applyBorder="1" applyAlignment="1">
      <alignment horizontal="left" vertical="top" wrapText="1"/>
    </xf>
    <xf numFmtId="2" fontId="8" fillId="0" borderId="2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2" fontId="5" fillId="0" borderId="18" xfId="0" applyNumberFormat="1" applyFont="1" applyFill="1" applyBorder="1" applyAlignment="1">
      <alignment horizontal="center" vertical="center"/>
    </xf>
    <xf numFmtId="2" fontId="5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top" wrapText="1"/>
    </xf>
    <xf numFmtId="2" fontId="5" fillId="0" borderId="19" xfId="3" applyNumberFormat="1" applyFont="1" applyFill="1" applyBorder="1" applyAlignment="1">
      <alignment horizontal="center" vertical="center"/>
    </xf>
    <xf numFmtId="49" fontId="5" fillId="0" borderId="33" xfId="3" applyNumberFormat="1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vertical="top" wrapText="1"/>
    </xf>
    <xf numFmtId="2" fontId="5" fillId="0" borderId="1" xfId="3" applyNumberFormat="1" applyFont="1" applyFill="1" applyBorder="1" applyAlignment="1">
      <alignment horizontal="center" vertical="center"/>
    </xf>
    <xf numFmtId="49" fontId="5" fillId="0" borderId="1" xfId="3" applyNumberFormat="1" applyFont="1" applyFill="1" applyBorder="1" applyAlignment="1">
      <alignment horizontal="left" vertical="top" wrapText="1"/>
    </xf>
    <xf numFmtId="49" fontId="5" fillId="0" borderId="19" xfId="3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0" fontId="5" fillId="0" borderId="33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19" xfId="0" applyNumberFormat="1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8" fillId="0" borderId="19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center"/>
    </xf>
    <xf numFmtId="0" fontId="5" fillId="0" borderId="35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Fill="1"/>
    <xf numFmtId="165" fontId="3" fillId="0" borderId="36" xfId="0" applyNumberFormat="1" applyFont="1" applyFill="1" applyBorder="1" applyAlignment="1">
      <alignment horizontal="center"/>
    </xf>
    <xf numFmtId="164" fontId="3" fillId="0" borderId="37" xfId="0" applyNumberFormat="1" applyFont="1" applyFill="1" applyBorder="1"/>
    <xf numFmtId="165" fontId="3" fillId="0" borderId="37" xfId="0" applyNumberFormat="1" applyFont="1" applyFill="1" applyBorder="1" applyAlignment="1">
      <alignment horizontal="center"/>
    </xf>
    <xf numFmtId="0" fontId="3" fillId="0" borderId="37" xfId="0" applyFont="1" applyFill="1" applyBorder="1"/>
    <xf numFmtId="0" fontId="3" fillId="0" borderId="38" xfId="0" applyFont="1" applyFill="1" applyBorder="1" applyAlignment="1">
      <alignment horizontal="center"/>
    </xf>
    <xf numFmtId="165" fontId="4" fillId="0" borderId="39" xfId="0" applyNumberFormat="1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left" vertical="top"/>
    </xf>
    <xf numFmtId="165" fontId="4" fillId="0" borderId="1" xfId="0" applyNumberFormat="1" applyFont="1" applyFill="1" applyBorder="1"/>
    <xf numFmtId="0" fontId="4" fillId="0" borderId="1" xfId="0" applyFont="1" applyFill="1" applyBorder="1" applyAlignment="1">
      <alignment horizontal="justify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1" xfId="0" applyFont="1" applyFill="1" applyBorder="1"/>
    <xf numFmtId="0" fontId="22" fillId="0" borderId="39" xfId="0" applyFont="1" applyFill="1" applyBorder="1" applyAlignment="1">
      <alignment vertical="top" wrapText="1"/>
    </xf>
    <xf numFmtId="0" fontId="4" fillId="0" borderId="35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165" fontId="4" fillId="0" borderId="39" xfId="0" applyNumberFormat="1" applyFont="1" applyFill="1" applyBorder="1" applyAlignment="1">
      <alignment vertical="top"/>
    </xf>
    <xf numFmtId="0" fontId="2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/>
    </xf>
    <xf numFmtId="165" fontId="8" fillId="0" borderId="36" xfId="0" applyNumberFormat="1" applyFont="1" applyFill="1" applyBorder="1" applyAlignment="1">
      <alignment horizontal="center"/>
    </xf>
    <xf numFmtId="165" fontId="8" fillId="0" borderId="37" xfId="0" applyNumberFormat="1" applyFont="1" applyFill="1" applyBorder="1" applyAlignment="1">
      <alignment horizontal="center"/>
    </xf>
    <xf numFmtId="0" fontId="7" fillId="0" borderId="37" xfId="0" applyFont="1" applyFill="1" applyBorder="1"/>
    <xf numFmtId="0" fontId="8" fillId="0" borderId="38" xfId="0" applyFont="1" applyFill="1" applyBorder="1" applyAlignment="1">
      <alignment horizontal="center"/>
    </xf>
    <xf numFmtId="165" fontId="1" fillId="0" borderId="39" xfId="0" applyNumberFormat="1" applyFont="1" applyFill="1" applyBorder="1"/>
    <xf numFmtId="0" fontId="1" fillId="0" borderId="35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wrapText="1"/>
    </xf>
    <xf numFmtId="1" fontId="5" fillId="0" borderId="19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2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65" fontId="10" fillId="0" borderId="40" xfId="0" applyNumberFormat="1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165" fontId="4" fillId="0" borderId="1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165" fontId="2" fillId="0" borderId="0" xfId="0" applyNumberFormat="1" applyFont="1" applyFill="1" applyAlignment="1">
      <alignment vertical="center" wrapText="1"/>
    </xf>
    <xf numFmtId="165" fontId="4" fillId="0" borderId="2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top" wrapText="1"/>
    </xf>
  </cellXfs>
  <cellStyles count="4">
    <cellStyle name="Обычный" xfId="0" builtinId="0"/>
    <cellStyle name="Обычный 2" xfId="1"/>
    <cellStyle name="Обычный_1216011" xfId="3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673"/>
  <sheetViews>
    <sheetView tabSelected="1" view="pageBreakPreview" zoomScale="60" zoomScaleNormal="120" workbookViewId="0">
      <pane ySplit="3" topLeftCell="A593" activePane="bottomLeft" state="frozen"/>
      <selection pane="bottomLeft" sqref="A1:G1048576"/>
    </sheetView>
  </sheetViews>
  <sheetFormatPr defaultColWidth="9.140625" defaultRowHeight="12.75"/>
  <cols>
    <col min="1" max="1" width="26.28515625" style="4" customWidth="1"/>
    <col min="2" max="2" width="36.85546875" style="2" customWidth="1"/>
    <col min="3" max="3" width="34.5703125" style="2" customWidth="1"/>
    <col min="4" max="6" width="15.28515625" style="3" customWidth="1"/>
    <col min="7" max="7" width="21" style="2" customWidth="1"/>
    <col min="8" max="11" width="9.140625" style="2"/>
    <col min="12" max="16384" width="9.140625" style="1"/>
  </cols>
  <sheetData>
    <row r="1" spans="1:11" ht="45" customHeight="1" thickBot="1">
      <c r="A1" s="335" t="s">
        <v>1119</v>
      </c>
      <c r="B1" s="335"/>
      <c r="C1" s="335"/>
      <c r="D1" s="335"/>
      <c r="E1" s="335"/>
      <c r="F1" s="335"/>
      <c r="G1" s="335"/>
    </row>
    <row r="2" spans="1:11">
      <c r="A2" s="333" t="s">
        <v>1118</v>
      </c>
      <c r="B2" s="333" t="s">
        <v>1117</v>
      </c>
      <c r="C2" s="333" t="s">
        <v>1116</v>
      </c>
      <c r="D2" s="334" t="s">
        <v>1115</v>
      </c>
      <c r="E2" s="334"/>
      <c r="F2" s="334"/>
      <c r="G2" s="333" t="s">
        <v>1114</v>
      </c>
    </row>
    <row r="3" spans="1:11" ht="63.75">
      <c r="A3" s="331"/>
      <c r="B3" s="331"/>
      <c r="C3" s="331"/>
      <c r="D3" s="332" t="s">
        <v>1113</v>
      </c>
      <c r="E3" s="332" t="s">
        <v>1112</v>
      </c>
      <c r="F3" s="332" t="s">
        <v>1111</v>
      </c>
      <c r="G3" s="331"/>
    </row>
    <row r="4" spans="1:11">
      <c r="A4" s="53" t="s">
        <v>1110</v>
      </c>
      <c r="B4" s="53"/>
      <c r="C4" s="53"/>
      <c r="D4" s="53"/>
      <c r="E4" s="53"/>
      <c r="F4" s="53"/>
      <c r="G4" s="53"/>
    </row>
    <row r="5" spans="1:11" ht="25.5">
      <c r="A5" s="71" t="s">
        <v>1109</v>
      </c>
      <c r="B5" s="73" t="s">
        <v>1108</v>
      </c>
      <c r="C5" s="72" t="s">
        <v>1107</v>
      </c>
      <c r="D5" s="86">
        <v>2.052</v>
      </c>
      <c r="E5" s="86">
        <v>2.052</v>
      </c>
      <c r="F5" s="86">
        <v>2.052</v>
      </c>
      <c r="G5" s="72" t="s">
        <v>1106</v>
      </c>
    </row>
    <row r="6" spans="1:11">
      <c r="A6" s="330"/>
      <c r="B6" s="260" t="s">
        <v>1</v>
      </c>
      <c r="C6" s="259" t="s">
        <v>0</v>
      </c>
      <c r="D6" s="329">
        <f>D5</f>
        <v>2.052</v>
      </c>
      <c r="E6" s="329">
        <f>E5</f>
        <v>2.052</v>
      </c>
      <c r="F6" s="329">
        <f>F5</f>
        <v>2.052</v>
      </c>
      <c r="G6" s="259" t="s">
        <v>0</v>
      </c>
    </row>
    <row r="7" spans="1:11" s="271" customFormat="1">
      <c r="A7" s="53" t="s">
        <v>1105</v>
      </c>
      <c r="B7" s="53"/>
      <c r="C7" s="53"/>
      <c r="D7" s="53"/>
      <c r="E7" s="53"/>
      <c r="F7" s="53"/>
      <c r="G7" s="53"/>
    </row>
    <row r="8" spans="1:11" s="318" customFormat="1" ht="38.25">
      <c r="A8" s="322" t="s">
        <v>1104</v>
      </c>
      <c r="B8" s="322" t="s">
        <v>1103</v>
      </c>
      <c r="C8" s="320" t="s">
        <v>1102</v>
      </c>
      <c r="D8" s="319">
        <v>591.62699999999995</v>
      </c>
      <c r="E8" s="319">
        <v>591.62699999999995</v>
      </c>
      <c r="F8" s="320">
        <v>268.12299999999999</v>
      </c>
      <c r="G8" s="319" t="s">
        <v>1101</v>
      </c>
      <c r="H8" s="311"/>
      <c r="I8" s="310"/>
      <c r="J8" s="310"/>
      <c r="K8" s="310"/>
    </row>
    <row r="9" spans="1:11" s="310" customFormat="1" ht="51">
      <c r="A9" s="322" t="s">
        <v>1100</v>
      </c>
      <c r="B9" s="322" t="s">
        <v>1099</v>
      </c>
      <c r="C9" s="320" t="s">
        <v>1098</v>
      </c>
      <c r="D9" s="319">
        <v>6206.4530000000004</v>
      </c>
      <c r="E9" s="319"/>
      <c r="F9" s="320"/>
      <c r="G9" s="319"/>
      <c r="H9" s="311"/>
    </row>
    <row r="10" spans="1:11" s="318" customFormat="1" ht="51">
      <c r="A10" s="322" t="s">
        <v>1097</v>
      </c>
      <c r="B10" s="322" t="s">
        <v>1096</v>
      </c>
      <c r="C10" s="320" t="s">
        <v>1095</v>
      </c>
      <c r="D10" s="319">
        <v>173.21799999999999</v>
      </c>
      <c r="E10" s="319">
        <v>173.21799999999999</v>
      </c>
      <c r="F10" s="320">
        <v>118.66211</v>
      </c>
      <c r="G10" s="319" t="s">
        <v>1094</v>
      </c>
      <c r="H10" s="311"/>
      <c r="I10" s="310"/>
      <c r="J10" s="310"/>
      <c r="K10" s="310"/>
    </row>
    <row r="11" spans="1:11" s="310" customFormat="1" ht="51">
      <c r="A11" s="322" t="s">
        <v>1093</v>
      </c>
      <c r="B11" s="322" t="s">
        <v>1092</v>
      </c>
      <c r="C11" s="320" t="s">
        <v>1091</v>
      </c>
      <c r="D11" s="319">
        <v>8159.027</v>
      </c>
      <c r="E11" s="319">
        <v>3723.6869999999999</v>
      </c>
      <c r="F11" s="320"/>
      <c r="G11" s="319"/>
      <c r="H11" s="311"/>
    </row>
    <row r="12" spans="1:11" s="309" customFormat="1" ht="38.25">
      <c r="A12" s="322" t="s">
        <v>1089</v>
      </c>
      <c r="B12" s="322" t="s">
        <v>1088</v>
      </c>
      <c r="C12" s="320" t="s">
        <v>1090</v>
      </c>
      <c r="D12" s="319">
        <v>4155.7700000000004</v>
      </c>
      <c r="E12" s="319">
        <v>1638.7919999999999</v>
      </c>
      <c r="F12" s="320">
        <f>800+58.90378+779.58762</f>
        <v>1638.4913999999999</v>
      </c>
      <c r="G12" s="327" t="s">
        <v>1018</v>
      </c>
      <c r="H12" s="311"/>
      <c r="I12" s="310"/>
      <c r="J12" s="310"/>
      <c r="K12" s="310"/>
    </row>
    <row r="13" spans="1:11" s="309" customFormat="1" ht="38.25">
      <c r="A13" s="322" t="s">
        <v>1089</v>
      </c>
      <c r="B13" s="322" t="s">
        <v>1088</v>
      </c>
      <c r="C13" s="320" t="s">
        <v>1087</v>
      </c>
      <c r="D13" s="319">
        <v>34.229999999999997</v>
      </c>
      <c r="E13" s="319">
        <v>34.229999999999997</v>
      </c>
      <c r="F13" s="320">
        <v>18.078320000000001</v>
      </c>
      <c r="G13" s="319" t="s">
        <v>312</v>
      </c>
      <c r="H13" s="311"/>
      <c r="I13" s="310"/>
      <c r="J13" s="310"/>
      <c r="K13" s="310"/>
    </row>
    <row r="14" spans="1:11" s="309" customFormat="1" ht="51">
      <c r="A14" s="328" t="s">
        <v>1086</v>
      </c>
      <c r="B14" s="328" t="s">
        <v>1085</v>
      </c>
      <c r="C14" s="320" t="s">
        <v>1084</v>
      </c>
      <c r="D14" s="319">
        <v>2000</v>
      </c>
      <c r="E14" s="319">
        <v>2000</v>
      </c>
      <c r="F14" s="320">
        <v>1309.337</v>
      </c>
      <c r="G14" s="327" t="s">
        <v>1067</v>
      </c>
      <c r="H14" s="311"/>
      <c r="I14" s="310"/>
      <c r="J14" s="310"/>
      <c r="K14" s="310"/>
    </row>
    <row r="15" spans="1:11" s="309" customFormat="1" ht="38.25">
      <c r="A15" s="322" t="s">
        <v>1082</v>
      </c>
      <c r="B15" s="322" t="s">
        <v>1081</v>
      </c>
      <c r="C15" s="320" t="s">
        <v>1083</v>
      </c>
      <c r="D15" s="319">
        <v>999.596</v>
      </c>
      <c r="E15" s="319">
        <v>999.596</v>
      </c>
      <c r="F15" s="320">
        <f>485.759+359.45478-171.21966+50.32206+201.06324</f>
        <v>925.37941999999998</v>
      </c>
      <c r="G15" s="320" t="s">
        <v>934</v>
      </c>
      <c r="H15" s="311"/>
      <c r="I15" s="310"/>
      <c r="J15" s="310"/>
      <c r="K15" s="310"/>
    </row>
    <row r="16" spans="1:11" s="318" customFormat="1" ht="38.25">
      <c r="A16" s="322" t="s">
        <v>1082</v>
      </c>
      <c r="B16" s="322" t="s">
        <v>1081</v>
      </c>
      <c r="C16" s="320" t="s">
        <v>1080</v>
      </c>
      <c r="D16" s="319">
        <v>20.414999999999999</v>
      </c>
      <c r="E16" s="319">
        <v>20.414999999999999</v>
      </c>
      <c r="F16" s="320">
        <f>7.5438+6.62484+1.06849+4.23851</f>
        <v>19.475639999999999</v>
      </c>
      <c r="G16" s="319" t="s">
        <v>312</v>
      </c>
      <c r="H16" s="311"/>
      <c r="I16" s="310"/>
      <c r="J16" s="310"/>
      <c r="K16" s="310"/>
    </row>
    <row r="17" spans="1:11" s="318" customFormat="1" ht="38.25">
      <c r="A17" s="322" t="s">
        <v>1079</v>
      </c>
      <c r="B17" s="322" t="s">
        <v>1078</v>
      </c>
      <c r="C17" s="320" t="s">
        <v>1077</v>
      </c>
      <c r="D17" s="319">
        <v>223.22900000000001</v>
      </c>
      <c r="E17" s="319">
        <v>223.22900000000001</v>
      </c>
      <c r="F17" s="320">
        <v>99.442430000000002</v>
      </c>
      <c r="G17" s="319" t="s">
        <v>1014</v>
      </c>
      <c r="H17" s="311"/>
      <c r="I17" s="310"/>
      <c r="J17" s="310"/>
      <c r="K17" s="310"/>
    </row>
    <row r="18" spans="1:11" s="318" customFormat="1" ht="38.25">
      <c r="A18" s="322" t="s">
        <v>1075</v>
      </c>
      <c r="B18" s="322" t="s">
        <v>1074</v>
      </c>
      <c r="C18" s="320" t="s">
        <v>1076</v>
      </c>
      <c r="D18" s="319">
        <v>1335.106</v>
      </c>
      <c r="E18" s="319">
        <v>524.02199999999993</v>
      </c>
      <c r="F18" s="320">
        <f>330.275</f>
        <v>330.27499999999998</v>
      </c>
      <c r="G18" s="319" t="s">
        <v>1051</v>
      </c>
      <c r="H18" s="311"/>
      <c r="I18" s="310"/>
      <c r="J18" s="310"/>
      <c r="K18" s="310"/>
    </row>
    <row r="19" spans="1:11" s="318" customFormat="1" ht="38.25">
      <c r="A19" s="322" t="s">
        <v>1075</v>
      </c>
      <c r="B19" s="322" t="s">
        <v>1074</v>
      </c>
      <c r="C19" s="320" t="s">
        <v>1073</v>
      </c>
      <c r="D19" s="319">
        <v>13.003</v>
      </c>
      <c r="E19" s="319">
        <v>6.9130000000000003</v>
      </c>
      <c r="F19" s="320">
        <f>2.27098+2.53567+2.10649</f>
        <v>6.9131400000000003</v>
      </c>
      <c r="G19" s="319" t="s">
        <v>312</v>
      </c>
      <c r="H19" s="311"/>
      <c r="I19" s="310"/>
      <c r="J19" s="310"/>
      <c r="K19" s="310"/>
    </row>
    <row r="20" spans="1:11" s="318" customFormat="1" ht="38.25">
      <c r="A20" s="322" t="s">
        <v>1071</v>
      </c>
      <c r="B20" s="322" t="s">
        <v>1070</v>
      </c>
      <c r="C20" s="320" t="s">
        <v>1072</v>
      </c>
      <c r="D20" s="319">
        <v>1861.2239999999999</v>
      </c>
      <c r="E20" s="319">
        <v>1861.2239999999999</v>
      </c>
      <c r="F20" s="320">
        <f>1479.19593+379.43633</f>
        <v>1858.6322600000001</v>
      </c>
      <c r="G20" s="319" t="s">
        <v>1034</v>
      </c>
      <c r="H20" s="311"/>
      <c r="I20" s="310"/>
      <c r="J20" s="310"/>
      <c r="K20" s="310"/>
    </row>
    <row r="21" spans="1:11" s="318" customFormat="1" ht="38.25">
      <c r="A21" s="322" t="s">
        <v>1071</v>
      </c>
      <c r="B21" s="322" t="s">
        <v>1070</v>
      </c>
      <c r="C21" s="320" t="s">
        <v>1069</v>
      </c>
      <c r="D21" s="319">
        <v>38.776000000000003</v>
      </c>
      <c r="E21" s="319">
        <v>38.776000000000003</v>
      </c>
      <c r="F21" s="320">
        <f>38.63045</f>
        <v>38.630450000000003</v>
      </c>
      <c r="G21" s="319" t="s">
        <v>312</v>
      </c>
      <c r="H21" s="311"/>
      <c r="I21" s="310"/>
      <c r="J21" s="310"/>
      <c r="K21" s="310"/>
    </row>
    <row r="22" spans="1:11" s="309" customFormat="1" ht="38.25">
      <c r="A22" s="328" t="s">
        <v>1010</v>
      </c>
      <c r="B22" s="328" t="s">
        <v>1009</v>
      </c>
      <c r="C22" s="320" t="s">
        <v>1068</v>
      </c>
      <c r="D22" s="319">
        <v>13071.778</v>
      </c>
      <c r="E22" s="319">
        <v>13071.778</v>
      </c>
      <c r="F22" s="320">
        <f>4000+2217.38611+1783.42757+2890+1839.79624</f>
        <v>12730.609919999999</v>
      </c>
      <c r="G22" s="327" t="s">
        <v>1067</v>
      </c>
      <c r="H22" s="311"/>
      <c r="I22" s="310"/>
      <c r="J22" s="310"/>
      <c r="K22" s="310"/>
    </row>
    <row r="23" spans="1:11" s="309" customFormat="1" ht="38.25">
      <c r="A23" s="326" t="s">
        <v>1010</v>
      </c>
      <c r="B23" s="326" t="s">
        <v>1009</v>
      </c>
      <c r="C23" s="308" t="s">
        <v>1066</v>
      </c>
      <c r="D23" s="325">
        <v>265.60300000000001</v>
      </c>
      <c r="E23" s="325">
        <v>265.60300000000001</v>
      </c>
      <c r="F23" s="308">
        <f>46.79983+82.38362+36.13268+99.09738+1.18949</f>
        <v>265.60299999999995</v>
      </c>
      <c r="G23" s="319" t="s">
        <v>312</v>
      </c>
      <c r="H23" s="311"/>
      <c r="I23" s="310"/>
      <c r="J23" s="310"/>
      <c r="K23" s="310"/>
    </row>
    <row r="24" spans="1:11" s="318" customFormat="1" ht="38.25">
      <c r="A24" s="322" t="s">
        <v>1010</v>
      </c>
      <c r="B24" s="322" t="s">
        <v>1009</v>
      </c>
      <c r="C24" s="320" t="s">
        <v>1065</v>
      </c>
      <c r="D24" s="319">
        <v>57.07</v>
      </c>
      <c r="E24" s="319">
        <v>57.07</v>
      </c>
      <c r="F24" s="320">
        <f>57.06966</f>
        <v>57.069659999999999</v>
      </c>
      <c r="G24" s="319" t="s">
        <v>1064</v>
      </c>
      <c r="H24" s="311"/>
      <c r="I24" s="310"/>
      <c r="J24" s="310"/>
      <c r="K24" s="310"/>
    </row>
    <row r="25" spans="1:11" s="318" customFormat="1" ht="51">
      <c r="A25" s="322" t="s">
        <v>1010</v>
      </c>
      <c r="B25" s="322" t="s">
        <v>1009</v>
      </c>
      <c r="C25" s="320" t="s">
        <v>1063</v>
      </c>
      <c r="D25" s="319">
        <v>60.518000000000001</v>
      </c>
      <c r="E25" s="319">
        <v>60.518000000000001</v>
      </c>
      <c r="F25" s="320">
        <v>60.5184</v>
      </c>
      <c r="G25" s="319" t="s">
        <v>1062</v>
      </c>
      <c r="H25" s="311"/>
      <c r="I25" s="310"/>
      <c r="J25" s="310"/>
      <c r="K25" s="310"/>
    </row>
    <row r="26" spans="1:11" s="318" customFormat="1" ht="51">
      <c r="A26" s="322" t="s">
        <v>1058</v>
      </c>
      <c r="B26" s="322" t="s">
        <v>1061</v>
      </c>
      <c r="C26" s="320" t="s">
        <v>1060</v>
      </c>
      <c r="D26" s="319">
        <f>2348.157-D27</f>
        <v>2323.9010000000003</v>
      </c>
      <c r="E26" s="319">
        <f>727.441-E27</f>
        <v>710.77</v>
      </c>
      <c r="F26" s="320">
        <f>514.72492+196.04454</f>
        <v>710.76945999999998</v>
      </c>
      <c r="G26" s="319" t="s">
        <v>1059</v>
      </c>
      <c r="H26" s="311"/>
      <c r="I26" s="310"/>
      <c r="J26" s="310"/>
      <c r="K26" s="310"/>
    </row>
    <row r="27" spans="1:11" s="318" customFormat="1" ht="38.25">
      <c r="A27" s="322" t="s">
        <v>1058</v>
      </c>
      <c r="B27" s="322" t="s">
        <v>1057</v>
      </c>
      <c r="C27" s="320" t="s">
        <v>1056</v>
      </c>
      <c r="D27" s="319">
        <v>24.256</v>
      </c>
      <c r="E27" s="319">
        <v>16.670999999999999</v>
      </c>
      <c r="F27" s="320">
        <f>16.67083</f>
        <v>16.670829999999999</v>
      </c>
      <c r="G27" s="319" t="s">
        <v>312</v>
      </c>
      <c r="H27" s="311"/>
      <c r="I27" s="310"/>
      <c r="J27" s="310"/>
      <c r="K27" s="310"/>
    </row>
    <row r="28" spans="1:11" s="318" customFormat="1" ht="38.25">
      <c r="A28" s="322" t="s">
        <v>1003</v>
      </c>
      <c r="B28" s="322" t="s">
        <v>1002</v>
      </c>
      <c r="C28" s="320" t="s">
        <v>1055</v>
      </c>
      <c r="D28" s="319">
        <v>1979.7260000000001</v>
      </c>
      <c r="E28" s="319">
        <v>1979.7260000000001</v>
      </c>
      <c r="F28" s="320">
        <v>155.21147999999999</v>
      </c>
      <c r="G28" s="319" t="s">
        <v>1054</v>
      </c>
      <c r="H28" s="311"/>
      <c r="I28" s="310"/>
      <c r="J28" s="310"/>
      <c r="K28" s="310"/>
    </row>
    <row r="29" spans="1:11" s="318" customFormat="1" ht="38.25">
      <c r="A29" s="322" t="s">
        <v>1003</v>
      </c>
      <c r="B29" s="322" t="s">
        <v>1002</v>
      </c>
      <c r="C29" s="320" t="s">
        <v>1053</v>
      </c>
      <c r="D29" s="319">
        <v>12.904999999999999</v>
      </c>
      <c r="E29" s="319">
        <v>12.904999999999999</v>
      </c>
      <c r="F29" s="320">
        <v>3.1864400000000002</v>
      </c>
      <c r="G29" s="319" t="s">
        <v>312</v>
      </c>
      <c r="H29" s="311"/>
      <c r="I29" s="310"/>
      <c r="J29" s="310"/>
      <c r="K29" s="310"/>
    </row>
    <row r="30" spans="1:11" s="318" customFormat="1" ht="38.25">
      <c r="A30" s="322" t="s">
        <v>1050</v>
      </c>
      <c r="B30" s="322" t="s">
        <v>1049</v>
      </c>
      <c r="C30" s="320" t="s">
        <v>1052</v>
      </c>
      <c r="D30" s="319">
        <v>808.2589999999999</v>
      </c>
      <c r="E30" s="319">
        <v>808.2589999999999</v>
      </c>
      <c r="F30" s="320">
        <f>361.1982+316.62914+44.56906</f>
        <v>722.39640000000009</v>
      </c>
      <c r="G30" s="319" t="s">
        <v>1051</v>
      </c>
      <c r="H30" s="311"/>
      <c r="I30" s="310"/>
      <c r="J30" s="310"/>
      <c r="K30" s="310"/>
    </row>
    <row r="31" spans="1:11" s="318" customFormat="1" ht="38.25">
      <c r="A31" s="322" t="s">
        <v>1050</v>
      </c>
      <c r="B31" s="322" t="s">
        <v>1049</v>
      </c>
      <c r="C31" s="320" t="s">
        <v>1048</v>
      </c>
      <c r="D31" s="319">
        <v>15.051</v>
      </c>
      <c r="E31" s="319">
        <v>15.051</v>
      </c>
      <c r="F31" s="320">
        <f>6.6405+2.3999+1.48996</f>
        <v>10.53036</v>
      </c>
      <c r="G31" s="319" t="s">
        <v>312</v>
      </c>
      <c r="H31" s="311"/>
      <c r="I31" s="310"/>
      <c r="J31" s="310"/>
      <c r="K31" s="310"/>
    </row>
    <row r="32" spans="1:11" s="318" customFormat="1" ht="38.25">
      <c r="A32" s="322" t="s">
        <v>1044</v>
      </c>
      <c r="B32" s="322" t="s">
        <v>1043</v>
      </c>
      <c r="C32" s="320" t="s">
        <v>1047</v>
      </c>
      <c r="D32" s="319">
        <v>40.728999999999999</v>
      </c>
      <c r="E32" s="319">
        <v>40.728999999999999</v>
      </c>
      <c r="F32" s="320">
        <f>17.9758</f>
        <v>17.9758</v>
      </c>
      <c r="G32" s="319" t="s">
        <v>312</v>
      </c>
      <c r="H32" s="311"/>
      <c r="I32" s="310"/>
      <c r="J32" s="310"/>
      <c r="K32" s="310"/>
    </row>
    <row r="33" spans="1:11" s="318" customFormat="1" ht="38.25">
      <c r="A33" s="322" t="s">
        <v>1044</v>
      </c>
      <c r="B33" s="322" t="s">
        <v>1043</v>
      </c>
      <c r="C33" s="320" t="s">
        <v>1046</v>
      </c>
      <c r="D33" s="319">
        <f>2024.402-D32</f>
        <v>1983.673</v>
      </c>
      <c r="E33" s="319">
        <f>1030.404-E32</f>
        <v>989.67499999999995</v>
      </c>
      <c r="F33" s="320">
        <f>868.08498</f>
        <v>868.08497999999997</v>
      </c>
      <c r="G33" s="319" t="s">
        <v>1045</v>
      </c>
      <c r="H33" s="311"/>
      <c r="I33" s="310"/>
      <c r="J33" s="310"/>
      <c r="K33" s="310"/>
    </row>
    <row r="34" spans="1:11" s="310" customFormat="1" ht="51">
      <c r="A34" s="322" t="s">
        <v>1044</v>
      </c>
      <c r="B34" s="322" t="s">
        <v>1043</v>
      </c>
      <c r="C34" s="320" t="s">
        <v>1042</v>
      </c>
      <c r="D34" s="319">
        <v>200</v>
      </c>
      <c r="E34" s="319">
        <v>200</v>
      </c>
      <c r="F34" s="320"/>
      <c r="G34" s="319"/>
      <c r="H34" s="311"/>
    </row>
    <row r="35" spans="1:11" s="318" customFormat="1" ht="38.25">
      <c r="A35" s="322" t="s">
        <v>1041</v>
      </c>
      <c r="B35" s="322" t="s">
        <v>1040</v>
      </c>
      <c r="C35" s="320" t="s">
        <v>1039</v>
      </c>
      <c r="D35" s="319">
        <v>79.319000000000003</v>
      </c>
      <c r="E35" s="319">
        <v>79.319000000000003</v>
      </c>
      <c r="F35" s="320">
        <v>79.318200000000004</v>
      </c>
      <c r="G35" s="319" t="s">
        <v>1038</v>
      </c>
      <c r="H35" s="311"/>
      <c r="I35" s="310"/>
      <c r="J35" s="310"/>
      <c r="K35" s="310"/>
    </row>
    <row r="36" spans="1:11" s="318" customFormat="1" ht="38.25">
      <c r="A36" s="322" t="s">
        <v>1037</v>
      </c>
      <c r="B36" s="322" t="s">
        <v>1036</v>
      </c>
      <c r="C36" s="320" t="s">
        <v>1035</v>
      </c>
      <c r="D36" s="319">
        <v>1420.681</v>
      </c>
      <c r="E36" s="319">
        <v>730.68100000000004</v>
      </c>
      <c r="F36" s="320">
        <v>730</v>
      </c>
      <c r="G36" s="319" t="s">
        <v>1034</v>
      </c>
      <c r="H36" s="311"/>
      <c r="I36" s="310"/>
      <c r="J36" s="310"/>
      <c r="K36" s="310"/>
    </row>
    <row r="37" spans="1:11" s="318" customFormat="1" ht="51">
      <c r="A37" s="322" t="s">
        <v>1032</v>
      </c>
      <c r="B37" s="322" t="s">
        <v>1031</v>
      </c>
      <c r="C37" s="320" t="s">
        <v>1033</v>
      </c>
      <c r="D37" s="319">
        <v>102.602</v>
      </c>
      <c r="E37" s="319">
        <v>102.602</v>
      </c>
      <c r="F37" s="320">
        <f>30.97428+71.62725</f>
        <v>102.60153</v>
      </c>
      <c r="G37" s="319" t="s">
        <v>686</v>
      </c>
      <c r="H37" s="311"/>
      <c r="I37" s="310"/>
      <c r="J37" s="310"/>
      <c r="K37" s="310"/>
    </row>
    <row r="38" spans="1:11" s="310" customFormat="1" ht="51">
      <c r="A38" s="322" t="s">
        <v>1032</v>
      </c>
      <c r="B38" s="322" t="s">
        <v>1031</v>
      </c>
      <c r="C38" s="320" t="s">
        <v>1030</v>
      </c>
      <c r="D38" s="319">
        <v>4350.6590000000006</v>
      </c>
      <c r="E38" s="319"/>
      <c r="F38" s="320"/>
      <c r="G38" s="319"/>
      <c r="H38" s="311"/>
    </row>
    <row r="39" spans="1:11" s="318" customFormat="1" ht="51">
      <c r="A39" s="322" t="s">
        <v>1028</v>
      </c>
      <c r="B39" s="322" t="s">
        <v>1024</v>
      </c>
      <c r="C39" s="320" t="s">
        <v>1029</v>
      </c>
      <c r="D39" s="319">
        <f>2105-D40-D41</f>
        <v>1977.0630000000001</v>
      </c>
      <c r="E39" s="319">
        <f>631.06-E40-E41</f>
        <v>510.59099999999989</v>
      </c>
      <c r="F39" s="320">
        <f>438.8814+71.70942</f>
        <v>510.59082000000001</v>
      </c>
      <c r="G39" s="319" t="s">
        <v>1018</v>
      </c>
      <c r="H39" s="311"/>
      <c r="I39" s="310"/>
      <c r="J39" s="310"/>
      <c r="K39" s="310"/>
    </row>
    <row r="40" spans="1:11" s="318" customFormat="1" ht="51">
      <c r="A40" s="322" t="s">
        <v>1028</v>
      </c>
      <c r="B40" s="322" t="s">
        <v>1024</v>
      </c>
      <c r="C40" s="320" t="s">
        <v>1027</v>
      </c>
      <c r="D40" s="319">
        <v>109.696</v>
      </c>
      <c r="E40" s="319">
        <v>109.696</v>
      </c>
      <c r="F40" s="320">
        <f>60+49.6958</f>
        <v>109.69579999999999</v>
      </c>
      <c r="G40" s="319" t="s">
        <v>1026</v>
      </c>
      <c r="H40" s="311"/>
      <c r="I40" s="310"/>
      <c r="J40" s="310"/>
      <c r="K40" s="310"/>
    </row>
    <row r="41" spans="1:11" s="318" customFormat="1" ht="51">
      <c r="A41" s="322" t="s">
        <v>1025</v>
      </c>
      <c r="B41" s="322" t="s">
        <v>1024</v>
      </c>
      <c r="C41" s="320" t="s">
        <v>1023</v>
      </c>
      <c r="D41" s="319">
        <v>18.241</v>
      </c>
      <c r="E41" s="319">
        <v>10.773</v>
      </c>
      <c r="F41" s="320">
        <f>10.77324</f>
        <v>10.773239999999999</v>
      </c>
      <c r="G41" s="319" t="s">
        <v>312</v>
      </c>
      <c r="H41" s="311"/>
      <c r="I41" s="310"/>
      <c r="J41" s="310"/>
      <c r="K41" s="310"/>
    </row>
    <row r="42" spans="1:11" s="318" customFormat="1" ht="51">
      <c r="A42" s="322" t="s">
        <v>1021</v>
      </c>
      <c r="B42" s="322" t="s">
        <v>1020</v>
      </c>
      <c r="C42" s="320" t="s">
        <v>1022</v>
      </c>
      <c r="D42" s="319">
        <v>31.242999999999999</v>
      </c>
      <c r="E42" s="319">
        <v>31.242999999999999</v>
      </c>
      <c r="F42" s="320">
        <v>31.242599999999999</v>
      </c>
      <c r="G42" s="319" t="s">
        <v>467</v>
      </c>
      <c r="H42" s="311"/>
      <c r="I42" s="310"/>
      <c r="J42" s="310"/>
      <c r="K42" s="310"/>
    </row>
    <row r="43" spans="1:11" s="318" customFormat="1" ht="38.25">
      <c r="A43" s="322" t="s">
        <v>1021</v>
      </c>
      <c r="B43" s="322" t="s">
        <v>1020</v>
      </c>
      <c r="C43" s="320" t="s">
        <v>1019</v>
      </c>
      <c r="D43" s="319">
        <v>968.75699999999995</v>
      </c>
      <c r="E43" s="319">
        <v>968.75699999999995</v>
      </c>
      <c r="F43" s="320">
        <v>475.7328</v>
      </c>
      <c r="G43" s="319" t="s">
        <v>1018</v>
      </c>
      <c r="H43" s="311"/>
      <c r="I43" s="310"/>
      <c r="J43" s="310"/>
      <c r="K43" s="310"/>
    </row>
    <row r="44" spans="1:11" s="318" customFormat="1" ht="38.25">
      <c r="A44" s="322" t="s">
        <v>1017</v>
      </c>
      <c r="B44" s="322" t="s">
        <v>1016</v>
      </c>
      <c r="C44" s="320" t="s">
        <v>1015</v>
      </c>
      <c r="D44" s="319">
        <v>424.96699999999998</v>
      </c>
      <c r="E44" s="319">
        <v>424.96699999999998</v>
      </c>
      <c r="F44" s="320">
        <v>174.77500000000001</v>
      </c>
      <c r="G44" s="319" t="s">
        <v>1014</v>
      </c>
      <c r="H44" s="311"/>
      <c r="I44" s="310"/>
      <c r="J44" s="310"/>
      <c r="K44" s="310"/>
    </row>
    <row r="45" spans="1:11" s="310" customFormat="1" ht="38.25">
      <c r="A45" s="322" t="s">
        <v>1013</v>
      </c>
      <c r="B45" s="322" t="s">
        <v>1012</v>
      </c>
      <c r="C45" s="320" t="s">
        <v>1011</v>
      </c>
      <c r="D45" s="319">
        <v>18000</v>
      </c>
      <c r="E45" s="319"/>
      <c r="F45" s="320"/>
      <c r="G45" s="319"/>
      <c r="H45" s="311"/>
    </row>
    <row r="46" spans="1:11" s="318" customFormat="1" ht="51">
      <c r="A46" s="322" t="s">
        <v>1010</v>
      </c>
      <c r="B46" s="322" t="s">
        <v>1009</v>
      </c>
      <c r="C46" s="321" t="s">
        <v>1008</v>
      </c>
      <c r="D46" s="323">
        <v>22148.39</v>
      </c>
      <c r="E46" s="323">
        <v>7035.0879999999997</v>
      </c>
      <c r="F46" s="320">
        <v>7035.0870000000004</v>
      </c>
      <c r="G46" s="319" t="s">
        <v>1007</v>
      </c>
      <c r="H46" s="311"/>
      <c r="I46" s="310"/>
      <c r="J46" s="310"/>
      <c r="K46" s="310"/>
    </row>
    <row r="47" spans="1:11" s="310" customFormat="1" ht="51">
      <c r="A47" s="322" t="s">
        <v>1006</v>
      </c>
      <c r="B47" s="322" t="s">
        <v>1005</v>
      </c>
      <c r="C47" s="321" t="s">
        <v>1004</v>
      </c>
      <c r="D47" s="323">
        <v>1982.912</v>
      </c>
      <c r="E47" s="323">
        <v>58.521999999999998</v>
      </c>
      <c r="F47" s="320"/>
      <c r="G47" s="319"/>
      <c r="H47" s="311"/>
    </row>
    <row r="48" spans="1:11" s="318" customFormat="1" ht="51">
      <c r="A48" s="322" t="s">
        <v>1003</v>
      </c>
      <c r="B48" s="322" t="s">
        <v>1002</v>
      </c>
      <c r="C48" s="321" t="s">
        <v>1001</v>
      </c>
      <c r="D48" s="319">
        <v>1671.346</v>
      </c>
      <c r="E48" s="319">
        <v>645.16999999999996</v>
      </c>
      <c r="F48" s="320">
        <v>645.16999999999996</v>
      </c>
      <c r="G48" s="319" t="s">
        <v>993</v>
      </c>
      <c r="H48" s="311"/>
      <c r="I48" s="310"/>
      <c r="J48" s="310"/>
      <c r="K48" s="324"/>
    </row>
    <row r="49" spans="1:11" s="310" customFormat="1" ht="51">
      <c r="A49" s="322" t="s">
        <v>1000</v>
      </c>
      <c r="B49" s="322" t="s">
        <v>999</v>
      </c>
      <c r="C49" s="321" t="s">
        <v>998</v>
      </c>
      <c r="D49" s="323">
        <v>300</v>
      </c>
      <c r="E49" s="323">
        <v>300</v>
      </c>
      <c r="F49" s="320"/>
      <c r="G49" s="319"/>
      <c r="H49" s="311"/>
    </row>
    <row r="50" spans="1:11" s="310" customFormat="1" ht="51">
      <c r="A50" s="322" t="s">
        <v>997</v>
      </c>
      <c r="B50" s="322" t="s">
        <v>996</v>
      </c>
      <c r="C50" s="321" t="s">
        <v>995</v>
      </c>
      <c r="D50" s="323">
        <v>605.36380999999994</v>
      </c>
      <c r="E50" s="323"/>
      <c r="F50" s="320"/>
      <c r="G50" s="319"/>
      <c r="H50" s="311"/>
    </row>
    <row r="51" spans="1:11" s="318" customFormat="1" ht="89.25">
      <c r="A51" s="322" t="s">
        <v>992</v>
      </c>
      <c r="B51" s="322" t="s">
        <v>991</v>
      </c>
      <c r="C51" s="321" t="s">
        <v>994</v>
      </c>
      <c r="D51" s="319">
        <v>4015.143</v>
      </c>
      <c r="E51" s="319">
        <v>1223.9849999999999</v>
      </c>
      <c r="F51" s="320">
        <v>316.11200000000002</v>
      </c>
      <c r="G51" s="319" t="s">
        <v>993</v>
      </c>
      <c r="H51" s="311"/>
      <c r="I51" s="310"/>
      <c r="J51" s="310"/>
      <c r="K51" s="310"/>
    </row>
    <row r="52" spans="1:11" s="318" customFormat="1" ht="89.25">
      <c r="A52" s="322" t="s">
        <v>992</v>
      </c>
      <c r="B52" s="322" t="s">
        <v>991</v>
      </c>
      <c r="C52" s="321" t="s">
        <v>990</v>
      </c>
      <c r="D52" s="319">
        <v>825.38099999999997</v>
      </c>
      <c r="E52" s="319">
        <v>825.38099999999997</v>
      </c>
      <c r="F52" s="320">
        <v>593.79600000000005</v>
      </c>
      <c r="G52" s="319" t="s">
        <v>989</v>
      </c>
      <c r="H52" s="311"/>
      <c r="I52" s="310"/>
      <c r="J52" s="310"/>
      <c r="K52" s="310"/>
    </row>
    <row r="53" spans="1:11" s="310" customFormat="1" ht="63.75">
      <c r="A53" s="322" t="s">
        <v>988</v>
      </c>
      <c r="B53" s="322" t="s">
        <v>987</v>
      </c>
      <c r="C53" s="321" t="s">
        <v>986</v>
      </c>
      <c r="D53" s="319">
        <v>784.89599999999996</v>
      </c>
      <c r="E53" s="319"/>
      <c r="F53" s="320"/>
      <c r="G53" s="319"/>
      <c r="H53" s="311"/>
    </row>
    <row r="54" spans="1:11" s="310" customFormat="1" ht="102">
      <c r="A54" s="322" t="s">
        <v>985</v>
      </c>
      <c r="B54" s="322" t="s">
        <v>984</v>
      </c>
      <c r="C54" s="321" t="s">
        <v>983</v>
      </c>
      <c r="D54" s="319">
        <v>999.98500000000001</v>
      </c>
      <c r="E54" s="319"/>
      <c r="F54" s="320"/>
      <c r="G54" s="319"/>
      <c r="H54" s="311"/>
    </row>
    <row r="55" spans="1:11" s="310" customFormat="1" ht="114.75">
      <c r="A55" s="322" t="s">
        <v>981</v>
      </c>
      <c r="B55" s="322" t="s">
        <v>980</v>
      </c>
      <c r="C55" s="321" t="s">
        <v>982</v>
      </c>
      <c r="D55" s="319">
        <v>942.79899999999998</v>
      </c>
      <c r="E55" s="319"/>
      <c r="F55" s="320"/>
      <c r="G55" s="319"/>
      <c r="H55" s="311"/>
    </row>
    <row r="56" spans="1:11" s="318" customFormat="1" ht="102">
      <c r="A56" s="322" t="s">
        <v>981</v>
      </c>
      <c r="B56" s="322" t="s">
        <v>980</v>
      </c>
      <c r="C56" s="321" t="s">
        <v>979</v>
      </c>
      <c r="D56" s="319">
        <v>56.621000000000002</v>
      </c>
      <c r="E56" s="319">
        <v>16.987000000000023</v>
      </c>
      <c r="F56" s="320">
        <v>16.986000000000001</v>
      </c>
      <c r="G56" s="319" t="s">
        <v>978</v>
      </c>
      <c r="H56" s="311"/>
      <c r="I56" s="310"/>
      <c r="J56" s="310"/>
      <c r="K56" s="310"/>
    </row>
    <row r="57" spans="1:11" s="309" customFormat="1" ht="15">
      <c r="A57" s="317"/>
      <c r="B57" s="316" t="s">
        <v>1</v>
      </c>
      <c r="C57" s="312" t="s">
        <v>0</v>
      </c>
      <c r="D57" s="315">
        <f>SUM(D8:D56)</f>
        <v>108471.20780999999</v>
      </c>
      <c r="E57" s="314">
        <f>SUM(E8:E56)</f>
        <v>43138.245999999985</v>
      </c>
      <c r="F57" s="313">
        <f>SUM(F8:F56)</f>
        <v>33081.947890000003</v>
      </c>
      <c r="G57" s="312" t="s">
        <v>0</v>
      </c>
      <c r="H57" s="311"/>
      <c r="I57" s="310"/>
      <c r="J57" s="310"/>
      <c r="K57" s="310"/>
    </row>
    <row r="58" spans="1:11" s="271" customFormat="1">
      <c r="A58" s="53" t="s">
        <v>977</v>
      </c>
      <c r="B58" s="53"/>
      <c r="C58" s="53"/>
      <c r="D58" s="53"/>
      <c r="E58" s="53"/>
      <c r="F58" s="53"/>
      <c r="G58" s="53"/>
    </row>
    <row r="59" spans="1:11" s="270" customFormat="1" ht="68.25" customHeight="1">
      <c r="A59" s="66" t="s">
        <v>976</v>
      </c>
      <c r="B59" s="66" t="s">
        <v>975</v>
      </c>
      <c r="C59" s="66" t="s">
        <v>974</v>
      </c>
      <c r="D59" s="308">
        <v>93.1</v>
      </c>
      <c r="E59" s="308">
        <v>93.1</v>
      </c>
      <c r="F59" s="308">
        <v>93.081950000000006</v>
      </c>
      <c r="G59" s="66" t="s">
        <v>973</v>
      </c>
      <c r="H59" s="271"/>
      <c r="I59" s="271"/>
      <c r="J59" s="271"/>
      <c r="K59" s="271"/>
    </row>
    <row r="60" spans="1:11" s="270" customFormat="1" ht="83.25" customHeight="1" thickBot="1">
      <c r="A60" s="304" t="s">
        <v>972</v>
      </c>
      <c r="B60" s="290" t="s">
        <v>971</v>
      </c>
      <c r="C60" s="302" t="s">
        <v>313</v>
      </c>
      <c r="D60" s="301">
        <v>5258.5550000000003</v>
      </c>
      <c r="E60" s="301">
        <v>2785.9562099999998</v>
      </c>
      <c r="F60" s="301">
        <v>2785.9562099999998</v>
      </c>
      <c r="G60" s="302" t="s">
        <v>970</v>
      </c>
      <c r="H60" s="271"/>
      <c r="I60" s="271"/>
      <c r="J60" s="271"/>
      <c r="K60" s="271"/>
    </row>
    <row r="61" spans="1:11" s="270" customFormat="1" ht="69" customHeight="1">
      <c r="A61" s="304" t="s">
        <v>969</v>
      </c>
      <c r="B61" s="290" t="s">
        <v>968</v>
      </c>
      <c r="C61" s="302" t="s">
        <v>967</v>
      </c>
      <c r="D61" s="307">
        <v>9296.0210000000006</v>
      </c>
      <c r="E61" s="307">
        <v>3840.9009999999998</v>
      </c>
      <c r="F61" s="301">
        <v>3840.8946500000002</v>
      </c>
      <c r="G61" s="302" t="s">
        <v>966</v>
      </c>
      <c r="H61" s="271"/>
      <c r="I61" s="271"/>
      <c r="J61" s="271"/>
      <c r="K61" s="271"/>
    </row>
    <row r="62" spans="1:11" s="270" customFormat="1" ht="64.5" customHeight="1">
      <c r="A62" s="304" t="s">
        <v>965</v>
      </c>
      <c r="B62" s="306" t="s">
        <v>964</v>
      </c>
      <c r="C62" s="302" t="s">
        <v>313</v>
      </c>
      <c r="D62" s="301">
        <v>7767.0839999999998</v>
      </c>
      <c r="E62" s="301">
        <v>2948.1692600000001</v>
      </c>
      <c r="F62" s="301">
        <v>2948.1692600000001</v>
      </c>
      <c r="G62" s="305" t="s">
        <v>948</v>
      </c>
      <c r="H62" s="271"/>
      <c r="I62" s="271"/>
      <c r="J62" s="271"/>
      <c r="K62" s="271"/>
    </row>
    <row r="63" spans="1:11" s="270" customFormat="1" ht="89.25">
      <c r="A63" s="304" t="s">
        <v>963</v>
      </c>
      <c r="B63" s="303" t="s">
        <v>962</v>
      </c>
      <c r="C63" s="302" t="s">
        <v>313</v>
      </c>
      <c r="D63" s="301">
        <v>1519.3520000000001</v>
      </c>
      <c r="E63" s="301">
        <v>352.46199999999999</v>
      </c>
      <c r="F63" s="280"/>
      <c r="G63" s="280"/>
      <c r="H63" s="271"/>
      <c r="I63" s="271"/>
      <c r="J63" s="271"/>
      <c r="K63" s="271"/>
    </row>
    <row r="64" spans="1:11" s="270" customFormat="1">
      <c r="A64" s="300"/>
      <c r="B64" s="260" t="s">
        <v>1</v>
      </c>
      <c r="C64" s="259" t="s">
        <v>0</v>
      </c>
      <c r="D64" s="259">
        <f>SUM(D59:D63)</f>
        <v>23934.112000000001</v>
      </c>
      <c r="E64" s="259">
        <f>SUM(E59:E63)</f>
        <v>10020.588469999999</v>
      </c>
      <c r="F64" s="259">
        <f>SUM(F59:F63)</f>
        <v>9668.1020700000008</v>
      </c>
      <c r="G64" s="259" t="s">
        <v>0</v>
      </c>
      <c r="H64" s="271"/>
      <c r="I64" s="271"/>
      <c r="J64" s="271"/>
      <c r="K64" s="271"/>
    </row>
    <row r="65" spans="1:11" s="2" customFormat="1">
      <c r="A65" s="53" t="s">
        <v>961</v>
      </c>
      <c r="B65" s="53"/>
      <c r="C65" s="53"/>
      <c r="D65" s="53"/>
      <c r="E65" s="53"/>
      <c r="F65" s="53"/>
      <c r="G65" s="53"/>
    </row>
    <row r="66" spans="1:11" s="61" customFormat="1" ht="25.5">
      <c r="A66" s="299" t="s">
        <v>960</v>
      </c>
      <c r="B66" s="73" t="s">
        <v>959</v>
      </c>
      <c r="C66" s="69" t="s">
        <v>11</v>
      </c>
      <c r="D66" s="69">
        <v>59.664999999999999</v>
      </c>
      <c r="E66" s="69">
        <v>59.664999999999999</v>
      </c>
      <c r="F66" s="69">
        <v>59.664999999999999</v>
      </c>
      <c r="G66" s="298" t="s">
        <v>958</v>
      </c>
    </row>
    <row r="67" spans="1:11" s="61" customFormat="1" ht="25.5">
      <c r="A67" s="299" t="s">
        <v>957</v>
      </c>
      <c r="B67" s="176" t="s">
        <v>956</v>
      </c>
      <c r="C67" s="69" t="s">
        <v>11</v>
      </c>
      <c r="D67" s="69">
        <v>21.934999999999999</v>
      </c>
      <c r="E67" s="69">
        <f>D67</f>
        <v>21.934999999999999</v>
      </c>
      <c r="F67" s="69">
        <v>0</v>
      </c>
      <c r="G67" s="298" t="s">
        <v>955</v>
      </c>
    </row>
    <row r="68" spans="1:11" s="61" customFormat="1" ht="15.75" thickBot="1">
      <c r="A68" s="297"/>
      <c r="B68" s="296" t="s">
        <v>1</v>
      </c>
      <c r="C68" s="295" t="s">
        <v>0</v>
      </c>
      <c r="D68" s="295">
        <f>SUM(D66:D67)</f>
        <v>81.599999999999994</v>
      </c>
      <c r="E68" s="295">
        <f>SUM(E65:E67)</f>
        <v>81.599999999999994</v>
      </c>
      <c r="F68" s="295">
        <f>SUM(F65:F67)</f>
        <v>59.664999999999999</v>
      </c>
      <c r="G68" s="294" t="s">
        <v>0</v>
      </c>
    </row>
    <row r="69" spans="1:11" s="2" customFormat="1">
      <c r="A69" s="53" t="s">
        <v>954</v>
      </c>
      <c r="B69" s="53"/>
      <c r="C69" s="53"/>
      <c r="D69" s="53"/>
      <c r="E69" s="53"/>
      <c r="F69" s="53"/>
      <c r="G69" s="53"/>
    </row>
    <row r="70" spans="1:11" s="270" customFormat="1" ht="185.25" customHeight="1">
      <c r="A70" s="285" t="s">
        <v>922</v>
      </c>
      <c r="B70" s="30" t="s">
        <v>953</v>
      </c>
      <c r="C70" s="45" t="s">
        <v>952</v>
      </c>
      <c r="D70" s="279">
        <v>2000</v>
      </c>
      <c r="E70" s="279">
        <v>2000</v>
      </c>
      <c r="F70" s="293">
        <v>151.82599999999999</v>
      </c>
      <c r="G70" s="287" t="s">
        <v>919</v>
      </c>
      <c r="H70" s="271"/>
      <c r="I70" s="271"/>
      <c r="J70" s="271"/>
      <c r="K70" s="271"/>
    </row>
    <row r="71" spans="1:11" s="270" customFormat="1" ht="51">
      <c r="A71" s="282" t="s">
        <v>951</v>
      </c>
      <c r="B71" s="18" t="s">
        <v>950</v>
      </c>
      <c r="C71" s="45" t="s">
        <v>949</v>
      </c>
      <c r="D71" s="279">
        <v>17000</v>
      </c>
      <c r="E71" s="279">
        <v>11819.654</v>
      </c>
      <c r="F71" s="279">
        <v>9241.27628</v>
      </c>
      <c r="G71" s="288" t="s">
        <v>948</v>
      </c>
      <c r="H71" s="271"/>
      <c r="I71" s="271"/>
      <c r="J71" s="271"/>
      <c r="K71" s="271"/>
    </row>
    <row r="72" spans="1:11" s="270" customFormat="1" ht="105" customHeight="1">
      <c r="A72" s="282" t="s">
        <v>947</v>
      </c>
      <c r="B72" s="45" t="s">
        <v>946</v>
      </c>
      <c r="C72" s="22" t="s">
        <v>945</v>
      </c>
      <c r="D72" s="279">
        <v>1394.278</v>
      </c>
      <c r="E72" s="279">
        <v>1100</v>
      </c>
      <c r="F72" s="279">
        <v>238.57253</v>
      </c>
      <c r="G72" s="291" t="s">
        <v>944</v>
      </c>
      <c r="H72" s="271"/>
      <c r="I72" s="271"/>
      <c r="J72" s="271"/>
      <c r="K72" s="271"/>
    </row>
    <row r="73" spans="1:11" s="270" customFormat="1" ht="74.25" customHeight="1">
      <c r="A73" s="282" t="s">
        <v>943</v>
      </c>
      <c r="B73" s="292" t="s">
        <v>942</v>
      </c>
      <c r="C73" s="22" t="s">
        <v>931</v>
      </c>
      <c r="D73" s="279">
        <v>100</v>
      </c>
      <c r="E73" s="279">
        <v>30</v>
      </c>
      <c r="F73" s="279"/>
      <c r="G73" s="291"/>
      <c r="H73" s="271"/>
      <c r="I73" s="271"/>
      <c r="J73" s="271"/>
      <c r="K73" s="271"/>
    </row>
    <row r="74" spans="1:11" s="270" customFormat="1" ht="63.75">
      <c r="A74" s="282" t="s">
        <v>941</v>
      </c>
      <c r="B74" s="18" t="s">
        <v>940</v>
      </c>
      <c r="C74" s="290" t="s">
        <v>939</v>
      </c>
      <c r="D74" s="279">
        <f>2214.893+386</f>
        <v>2600.893</v>
      </c>
      <c r="E74" s="279">
        <v>1818.7090000000001</v>
      </c>
      <c r="F74" s="279">
        <v>43.70796</v>
      </c>
      <c r="G74" s="288" t="s">
        <v>938</v>
      </c>
      <c r="H74" s="271"/>
      <c r="I74" s="271"/>
      <c r="J74" s="271"/>
      <c r="K74" s="271"/>
    </row>
    <row r="75" spans="1:11" s="270" customFormat="1" ht="105.75" customHeight="1">
      <c r="A75" s="282" t="s">
        <v>937</v>
      </c>
      <c r="B75" s="289" t="s">
        <v>936</v>
      </c>
      <c r="C75" s="45" t="s">
        <v>935</v>
      </c>
      <c r="D75" s="279">
        <v>1100</v>
      </c>
      <c r="E75" s="279">
        <v>495</v>
      </c>
      <c r="F75" s="279">
        <v>446.46807999999999</v>
      </c>
      <c r="G75" s="288" t="s">
        <v>934</v>
      </c>
      <c r="H75" s="271"/>
      <c r="I75" s="271"/>
      <c r="J75" s="271"/>
      <c r="K75" s="271"/>
    </row>
    <row r="76" spans="1:11" s="270" customFormat="1" ht="63.75">
      <c r="A76" s="282" t="s">
        <v>933</v>
      </c>
      <c r="B76" s="18" t="s">
        <v>932</v>
      </c>
      <c r="C76" s="18" t="s">
        <v>931</v>
      </c>
      <c r="D76" s="279">
        <v>60</v>
      </c>
      <c r="E76" s="279"/>
      <c r="F76" s="279"/>
      <c r="G76" s="288"/>
      <c r="H76" s="271"/>
      <c r="I76" s="271"/>
      <c r="J76" s="271"/>
      <c r="K76" s="271"/>
    </row>
    <row r="77" spans="1:11" s="270" customFormat="1" ht="96" customHeight="1">
      <c r="A77" s="285" t="s">
        <v>927</v>
      </c>
      <c r="B77" s="30" t="s">
        <v>930</v>
      </c>
      <c r="C77" s="204" t="s">
        <v>929</v>
      </c>
      <c r="D77" s="279">
        <v>554</v>
      </c>
      <c r="E77" s="279">
        <v>554</v>
      </c>
      <c r="F77" s="279">
        <v>59.89114</v>
      </c>
      <c r="G77" s="288" t="s">
        <v>928</v>
      </c>
      <c r="H77" s="271"/>
      <c r="I77" s="271"/>
      <c r="J77" s="271"/>
      <c r="K77" s="271"/>
    </row>
    <row r="78" spans="1:11" s="270" customFormat="1" ht="51">
      <c r="A78" s="285" t="s">
        <v>927</v>
      </c>
      <c r="B78" s="30" t="s">
        <v>926</v>
      </c>
      <c r="C78" s="204" t="s">
        <v>925</v>
      </c>
      <c r="D78" s="279">
        <v>23.456</v>
      </c>
      <c r="E78" s="279">
        <v>23.456</v>
      </c>
      <c r="F78" s="279">
        <v>22.960889999999999</v>
      </c>
      <c r="G78" s="287" t="s">
        <v>924</v>
      </c>
      <c r="H78" s="271"/>
      <c r="I78" s="271"/>
      <c r="J78" s="271"/>
      <c r="K78" s="271"/>
    </row>
    <row r="79" spans="1:11" s="270" customFormat="1" ht="88.5" customHeight="1">
      <c r="A79" s="285" t="s">
        <v>922</v>
      </c>
      <c r="B79" s="30" t="s">
        <v>923</v>
      </c>
      <c r="C79" s="18" t="s">
        <v>920</v>
      </c>
      <c r="D79" s="286">
        <v>750</v>
      </c>
      <c r="E79" s="286">
        <v>750</v>
      </c>
      <c r="F79" s="279"/>
      <c r="G79" s="284" t="s">
        <v>919</v>
      </c>
      <c r="H79" s="271"/>
      <c r="I79" s="271"/>
      <c r="J79" s="271"/>
      <c r="K79" s="271"/>
    </row>
    <row r="80" spans="1:11" s="270" customFormat="1" ht="104.25" customHeight="1">
      <c r="A80" s="285" t="s">
        <v>922</v>
      </c>
      <c r="B80" s="30" t="s">
        <v>921</v>
      </c>
      <c r="C80" s="18" t="s">
        <v>920</v>
      </c>
      <c r="D80" s="279">
        <v>1100</v>
      </c>
      <c r="E80" s="279">
        <v>1100</v>
      </c>
      <c r="F80" s="279"/>
      <c r="G80" s="284" t="s">
        <v>919</v>
      </c>
      <c r="H80" s="271"/>
      <c r="I80" s="271"/>
      <c r="J80" s="271"/>
      <c r="K80" s="271"/>
    </row>
    <row r="81" spans="1:11" s="270" customFormat="1" hidden="1">
      <c r="A81" s="282"/>
      <c r="B81" s="283"/>
      <c r="C81" s="280"/>
      <c r="D81" s="278"/>
      <c r="E81" s="279"/>
      <c r="F81" s="278"/>
      <c r="G81" s="277"/>
      <c r="H81" s="271"/>
      <c r="I81" s="271"/>
      <c r="J81" s="271"/>
      <c r="K81" s="271"/>
    </row>
    <row r="82" spans="1:11" s="270" customFormat="1" hidden="1">
      <c r="A82" s="282"/>
      <c r="B82" s="283"/>
      <c r="C82" s="280"/>
      <c r="D82" s="278"/>
      <c r="E82" s="279"/>
      <c r="F82" s="278"/>
      <c r="G82" s="277"/>
      <c r="H82" s="271"/>
      <c r="I82" s="271"/>
      <c r="J82" s="271"/>
      <c r="K82" s="271"/>
    </row>
    <row r="83" spans="1:11" s="270" customFormat="1" hidden="1">
      <c r="A83" s="282"/>
      <c r="B83" s="281"/>
      <c r="C83" s="280"/>
      <c r="D83" s="278"/>
      <c r="E83" s="279"/>
      <c r="F83" s="278"/>
      <c r="G83" s="277"/>
      <c r="H83" s="271"/>
      <c r="I83" s="271"/>
      <c r="J83" s="271"/>
      <c r="K83" s="271"/>
    </row>
    <row r="84" spans="1:11" s="270" customFormat="1" hidden="1">
      <c r="A84" s="282"/>
      <c r="B84" s="281"/>
      <c r="C84" s="280"/>
      <c r="D84" s="278"/>
      <c r="E84" s="279"/>
      <c r="F84" s="278"/>
      <c r="G84" s="277"/>
      <c r="H84" s="271"/>
      <c r="I84" s="271"/>
      <c r="J84" s="271"/>
      <c r="K84" s="271"/>
    </row>
    <row r="85" spans="1:11" s="270" customFormat="1" hidden="1">
      <c r="A85" s="282"/>
      <c r="B85" s="281"/>
      <c r="C85" s="280"/>
      <c r="D85" s="278"/>
      <c r="E85" s="279"/>
      <c r="F85" s="278"/>
      <c r="G85" s="277"/>
      <c r="H85" s="271"/>
      <c r="I85" s="271"/>
      <c r="J85" s="271"/>
      <c r="K85" s="271"/>
    </row>
    <row r="86" spans="1:11" s="270" customFormat="1" ht="13.5" thickBot="1">
      <c r="A86" s="276"/>
      <c r="B86" s="275" t="s">
        <v>1</v>
      </c>
      <c r="C86" s="274" t="s">
        <v>0</v>
      </c>
      <c r="D86" s="273">
        <f>SUM(D70:D85)</f>
        <v>26682.626999999997</v>
      </c>
      <c r="E86" s="273">
        <f>SUM(E70:E85)</f>
        <v>19690.819</v>
      </c>
      <c r="F86" s="273">
        <f>SUM(F70:F85)</f>
        <v>10204.702879999999</v>
      </c>
      <c r="G86" s="272" t="s">
        <v>0</v>
      </c>
      <c r="H86" s="271"/>
      <c r="I86" s="271"/>
      <c r="J86" s="271"/>
      <c r="K86" s="271"/>
    </row>
    <row r="87" spans="1:11" s="2" customFormat="1">
      <c r="A87" s="53" t="s">
        <v>918</v>
      </c>
      <c r="B87" s="53"/>
      <c r="C87" s="53"/>
      <c r="D87" s="53"/>
      <c r="E87" s="53"/>
      <c r="F87" s="53"/>
      <c r="G87" s="53"/>
    </row>
    <row r="88" spans="1:11" ht="42" customHeight="1">
      <c r="A88" s="176" t="s">
        <v>917</v>
      </c>
      <c r="B88" s="176" t="s">
        <v>916</v>
      </c>
      <c r="C88" s="176" t="s">
        <v>915</v>
      </c>
      <c r="D88" s="264">
        <v>74.62</v>
      </c>
      <c r="E88" s="264">
        <v>74.62</v>
      </c>
      <c r="F88" s="264"/>
      <c r="G88" s="84"/>
    </row>
    <row r="89" spans="1:11" ht="29.25" customHeight="1">
      <c r="A89" s="176" t="s">
        <v>912</v>
      </c>
      <c r="B89" s="268" t="s">
        <v>914</v>
      </c>
      <c r="C89" s="176" t="s">
        <v>913</v>
      </c>
      <c r="D89" s="264">
        <v>104.765</v>
      </c>
      <c r="E89" s="264">
        <v>104.765</v>
      </c>
      <c r="F89" s="264"/>
      <c r="G89" s="84"/>
    </row>
    <row r="90" spans="1:11" ht="42.75" customHeight="1">
      <c r="A90" s="176" t="s">
        <v>912</v>
      </c>
      <c r="B90" s="268" t="s">
        <v>911</v>
      </c>
      <c r="C90" s="176" t="s">
        <v>910</v>
      </c>
      <c r="D90" s="264">
        <v>1727.7560000000001</v>
      </c>
      <c r="E90" s="264">
        <v>1727.7560000000001</v>
      </c>
      <c r="F90" s="264">
        <v>121.25664999999999</v>
      </c>
      <c r="G90" s="176" t="s">
        <v>909</v>
      </c>
    </row>
    <row r="91" spans="1:11" s="2" customFormat="1" ht="50.25" customHeight="1">
      <c r="A91" s="176" t="s">
        <v>908</v>
      </c>
      <c r="B91" s="268" t="s">
        <v>907</v>
      </c>
      <c r="C91" s="176" t="s">
        <v>906</v>
      </c>
      <c r="D91" s="264">
        <v>960.31299999999999</v>
      </c>
      <c r="E91" s="264">
        <v>960.31299999999999</v>
      </c>
      <c r="F91" s="269">
        <v>320.06200999999999</v>
      </c>
      <c r="G91" s="176" t="s">
        <v>905</v>
      </c>
    </row>
    <row r="92" spans="1:11" ht="39.75" customHeight="1">
      <c r="A92" s="176" t="s">
        <v>904</v>
      </c>
      <c r="B92" s="176" t="s">
        <v>903</v>
      </c>
      <c r="C92" s="176" t="s">
        <v>902</v>
      </c>
      <c r="D92" s="264">
        <v>337.37869999999998</v>
      </c>
      <c r="E92" s="264">
        <v>337.37869999999998</v>
      </c>
      <c r="F92" s="264"/>
      <c r="G92" s="84"/>
    </row>
    <row r="93" spans="1:11" ht="43.5" customHeight="1">
      <c r="A93" s="176" t="s">
        <v>901</v>
      </c>
      <c r="B93" s="176" t="s">
        <v>900</v>
      </c>
      <c r="C93" s="176" t="s">
        <v>899</v>
      </c>
      <c r="D93" s="264">
        <v>610.26499999999999</v>
      </c>
      <c r="E93" s="264">
        <v>610.26499999999999</v>
      </c>
      <c r="F93" s="264">
        <f>30.7846+435.8628+8.93726</f>
        <v>475.58465999999999</v>
      </c>
      <c r="G93" s="176" t="s">
        <v>898</v>
      </c>
    </row>
    <row r="94" spans="1:11" ht="39.75" customHeight="1">
      <c r="A94" s="176" t="s">
        <v>897</v>
      </c>
      <c r="B94" s="268" t="s">
        <v>896</v>
      </c>
      <c r="C94" s="176" t="s">
        <v>895</v>
      </c>
      <c r="D94" s="264">
        <v>251.76480000000001</v>
      </c>
      <c r="E94" s="264">
        <v>251.76480000000001</v>
      </c>
      <c r="F94" s="264"/>
      <c r="G94" s="84"/>
    </row>
    <row r="95" spans="1:11" s="219" customFormat="1" ht="15" customHeight="1">
      <c r="A95" s="262" t="s">
        <v>874</v>
      </c>
      <c r="B95" s="267"/>
      <c r="C95" s="262"/>
      <c r="D95" s="56">
        <f>SUM(D88:D94)</f>
        <v>4066.8624999999997</v>
      </c>
      <c r="E95" s="56">
        <f>SUM(E88:E94)</f>
        <v>4066.8624999999997</v>
      </c>
      <c r="F95" s="56">
        <f>SUM(F88:F94)</f>
        <v>916.90331999999989</v>
      </c>
      <c r="G95" s="240"/>
      <c r="H95" s="220"/>
      <c r="I95" s="220"/>
      <c r="J95" s="220"/>
      <c r="K95" s="220"/>
    </row>
    <row r="96" spans="1:11" ht="65.25" customHeight="1">
      <c r="A96" s="176" t="s">
        <v>877</v>
      </c>
      <c r="B96" s="176" t="s">
        <v>894</v>
      </c>
      <c r="C96" s="176" t="s">
        <v>893</v>
      </c>
      <c r="D96" s="264">
        <f>1860+167.067</f>
        <v>2027.067</v>
      </c>
      <c r="E96" s="264">
        <f>1860+167.067</f>
        <v>2027.067</v>
      </c>
      <c r="F96" s="264">
        <v>1691.5260000000001</v>
      </c>
      <c r="G96" s="84" t="s">
        <v>892</v>
      </c>
    </row>
    <row r="97" spans="1:11" ht="51" customHeight="1">
      <c r="A97" s="176" t="s">
        <v>877</v>
      </c>
      <c r="B97" s="176" t="s">
        <v>891</v>
      </c>
      <c r="C97" s="176" t="s">
        <v>890</v>
      </c>
      <c r="D97" s="264">
        <f>120+193.4346</f>
        <v>313.43459999999999</v>
      </c>
      <c r="E97" s="264">
        <f>120+193.4346</f>
        <v>313.43459999999999</v>
      </c>
      <c r="F97" s="264"/>
      <c r="G97" s="84"/>
    </row>
    <row r="98" spans="1:11" s="219" customFormat="1" ht="12.75" customHeight="1">
      <c r="A98" s="262" t="s">
        <v>874</v>
      </c>
      <c r="B98" s="267"/>
      <c r="C98" s="262"/>
      <c r="D98" s="56">
        <f>SUM(D96:D97)</f>
        <v>2340.5016000000001</v>
      </c>
      <c r="E98" s="56">
        <f>SUM(E96:E97)</f>
        <v>2340.5016000000001</v>
      </c>
      <c r="F98" s="56">
        <f>SUM(F96:F97)</f>
        <v>1691.5260000000001</v>
      </c>
      <c r="G98" s="240"/>
      <c r="H98" s="220"/>
      <c r="I98" s="220"/>
      <c r="J98" s="220"/>
      <c r="K98" s="220"/>
    </row>
    <row r="99" spans="1:11" ht="40.5" customHeight="1">
      <c r="A99" s="176" t="s">
        <v>889</v>
      </c>
      <c r="B99" s="268" t="s">
        <v>888</v>
      </c>
      <c r="C99" s="176" t="s">
        <v>887</v>
      </c>
      <c r="D99" s="264">
        <v>639.47</v>
      </c>
      <c r="E99" s="264">
        <v>639.47</v>
      </c>
      <c r="F99" s="264">
        <v>2.052</v>
      </c>
      <c r="G99" s="84" t="s">
        <v>886</v>
      </c>
    </row>
    <row r="100" spans="1:11" s="219" customFormat="1" ht="14.25" customHeight="1">
      <c r="A100" s="262" t="s">
        <v>885</v>
      </c>
      <c r="B100" s="267"/>
      <c r="C100" s="262"/>
      <c r="D100" s="56">
        <f>D95+D98+D99</f>
        <v>7046.8341</v>
      </c>
      <c r="E100" s="56">
        <f>E95+E98+E99</f>
        <v>7046.8341</v>
      </c>
      <c r="F100" s="56">
        <f>F95+F98+F99</f>
        <v>2610.4813200000003</v>
      </c>
      <c r="G100" s="240"/>
      <c r="H100" s="220"/>
      <c r="I100" s="220"/>
      <c r="J100" s="220"/>
      <c r="K100" s="220"/>
    </row>
    <row r="101" spans="1:11" ht="77.25" customHeight="1">
      <c r="A101" s="176" t="s">
        <v>877</v>
      </c>
      <c r="B101" s="265" t="s">
        <v>884</v>
      </c>
      <c r="C101" s="176" t="s">
        <v>883</v>
      </c>
      <c r="D101" s="264">
        <v>17452.933000000001</v>
      </c>
      <c r="E101" s="264">
        <v>17452.933000000001</v>
      </c>
      <c r="F101" s="264">
        <v>14353.593999999999</v>
      </c>
      <c r="G101" s="84" t="s">
        <v>882</v>
      </c>
    </row>
    <row r="102" spans="1:11" ht="81" customHeight="1">
      <c r="A102" s="176" t="s">
        <v>881</v>
      </c>
      <c r="B102" s="129" t="s">
        <v>880</v>
      </c>
      <c r="C102" s="129" t="s">
        <v>879</v>
      </c>
      <c r="D102" s="266">
        <v>1059.212</v>
      </c>
      <c r="E102" s="266">
        <v>1059.212</v>
      </c>
      <c r="F102" s="266">
        <v>1028.319</v>
      </c>
      <c r="G102" s="129" t="s">
        <v>878</v>
      </c>
    </row>
    <row r="103" spans="1:11" ht="77.25" customHeight="1">
      <c r="A103" s="176" t="s">
        <v>877</v>
      </c>
      <c r="B103" s="265" t="s">
        <v>876</v>
      </c>
      <c r="C103" s="176" t="s">
        <v>875</v>
      </c>
      <c r="D103" s="264">
        <v>651.66399999999999</v>
      </c>
      <c r="E103" s="264">
        <v>651.66399999999999</v>
      </c>
      <c r="F103" s="264"/>
      <c r="G103" s="84"/>
    </row>
    <row r="104" spans="1:11" s="219" customFormat="1" ht="15" customHeight="1">
      <c r="A104" s="262" t="s">
        <v>874</v>
      </c>
      <c r="B104" s="263"/>
      <c r="C104" s="262"/>
      <c r="D104" s="56">
        <f>D102+D103+D101</f>
        <v>19163.809000000001</v>
      </c>
      <c r="E104" s="56">
        <f>E102+E103+E101</f>
        <v>19163.809000000001</v>
      </c>
      <c r="F104" s="56">
        <f>F102+F103+F101</f>
        <v>15381.912999999999</v>
      </c>
      <c r="G104" s="240"/>
      <c r="H104" s="220"/>
      <c r="I104" s="220"/>
      <c r="J104" s="220"/>
      <c r="K104" s="220"/>
    </row>
    <row r="105" spans="1:11" s="220" customFormat="1" ht="15" customHeight="1">
      <c r="A105" s="261"/>
      <c r="B105" s="260" t="s">
        <v>1</v>
      </c>
      <c r="C105" s="259" t="s">
        <v>0</v>
      </c>
      <c r="D105" s="56">
        <f>D100+D104</f>
        <v>26210.643100000001</v>
      </c>
      <c r="E105" s="56">
        <f>E100+E104</f>
        <v>26210.643100000001</v>
      </c>
      <c r="F105" s="56">
        <f>F100+F104</f>
        <v>17992.394319999999</v>
      </c>
      <c r="G105" s="240"/>
    </row>
    <row r="106" spans="1:11" s="2" customFormat="1">
      <c r="A106" s="53" t="s">
        <v>873</v>
      </c>
      <c r="B106" s="53"/>
      <c r="C106" s="53"/>
      <c r="D106" s="53"/>
      <c r="E106" s="53"/>
      <c r="F106" s="53"/>
      <c r="G106" s="53"/>
    </row>
    <row r="107" spans="1:11" ht="29.25" customHeight="1">
      <c r="A107" s="252" t="s">
        <v>872</v>
      </c>
      <c r="B107" s="249" t="s">
        <v>870</v>
      </c>
      <c r="C107" s="251" t="s">
        <v>872</v>
      </c>
      <c r="D107" s="248"/>
      <c r="E107" s="250" t="s">
        <v>775</v>
      </c>
      <c r="F107" s="250">
        <v>381.06330000000003</v>
      </c>
      <c r="G107" s="246" t="s">
        <v>870</v>
      </c>
    </row>
    <row r="108" spans="1:11" ht="29.25" customHeight="1">
      <c r="A108" s="258" t="s">
        <v>871</v>
      </c>
      <c r="B108" s="249" t="s">
        <v>870</v>
      </c>
      <c r="C108" s="31" t="s">
        <v>871</v>
      </c>
      <c r="D108" s="248"/>
      <c r="E108" s="250"/>
      <c r="F108" s="229">
        <v>280.27100000000002</v>
      </c>
      <c r="G108" s="246" t="s">
        <v>870</v>
      </c>
    </row>
    <row r="109" spans="1:11" ht="29.25" customHeight="1">
      <c r="A109" s="252" t="s">
        <v>869</v>
      </c>
      <c r="B109" s="249" t="s">
        <v>866</v>
      </c>
      <c r="C109" s="251" t="s">
        <v>869</v>
      </c>
      <c r="D109" s="248"/>
      <c r="E109" s="250"/>
      <c r="F109" s="238">
        <v>200.15375</v>
      </c>
      <c r="G109" s="246" t="s">
        <v>866</v>
      </c>
    </row>
    <row r="110" spans="1:11" ht="29.25" customHeight="1">
      <c r="A110" s="252" t="s">
        <v>868</v>
      </c>
      <c r="B110" s="249" t="s">
        <v>866</v>
      </c>
      <c r="C110" s="251" t="s">
        <v>868</v>
      </c>
      <c r="D110" s="248"/>
      <c r="E110" s="250"/>
      <c r="F110" s="238">
        <v>389.20499999999998</v>
      </c>
      <c r="G110" s="246" t="s">
        <v>866</v>
      </c>
    </row>
    <row r="111" spans="1:11" ht="28.5" customHeight="1">
      <c r="A111" s="252" t="s">
        <v>867</v>
      </c>
      <c r="B111" s="249" t="s">
        <v>866</v>
      </c>
      <c r="C111" s="251" t="s">
        <v>867</v>
      </c>
      <c r="D111" s="248"/>
      <c r="E111" s="250"/>
      <c r="F111" s="238">
        <v>504.56299999999999</v>
      </c>
      <c r="G111" s="246" t="s">
        <v>866</v>
      </c>
    </row>
    <row r="112" spans="1:11" ht="30" customHeight="1">
      <c r="A112" s="252" t="s">
        <v>865</v>
      </c>
      <c r="B112" s="249" t="s">
        <v>859</v>
      </c>
      <c r="C112" s="251" t="s">
        <v>864</v>
      </c>
      <c r="D112" s="248"/>
      <c r="E112" s="250" t="s">
        <v>775</v>
      </c>
      <c r="F112" s="250">
        <v>17.978100000000001</v>
      </c>
      <c r="G112" s="257" t="s">
        <v>859</v>
      </c>
    </row>
    <row r="113" spans="1:7" s="1" customFormat="1" ht="32.25" customHeight="1">
      <c r="A113" s="252" t="s">
        <v>863</v>
      </c>
      <c r="B113" s="249" t="s">
        <v>859</v>
      </c>
      <c r="C113" s="251" t="s">
        <v>863</v>
      </c>
      <c r="D113" s="248"/>
      <c r="E113" s="250" t="s">
        <v>775</v>
      </c>
      <c r="F113" s="250">
        <v>15.1746</v>
      </c>
      <c r="G113" s="257" t="s">
        <v>859</v>
      </c>
    </row>
    <row r="114" spans="1:7" s="1" customFormat="1" ht="30.75" customHeight="1">
      <c r="A114" s="252" t="s">
        <v>862</v>
      </c>
      <c r="B114" s="249" t="s">
        <v>859</v>
      </c>
      <c r="C114" s="251" t="s">
        <v>862</v>
      </c>
      <c r="D114" s="248"/>
      <c r="E114" s="250"/>
      <c r="F114" s="238">
        <v>24.276</v>
      </c>
      <c r="G114" s="257" t="s">
        <v>859</v>
      </c>
    </row>
    <row r="115" spans="1:7" s="1" customFormat="1" ht="30.75" customHeight="1">
      <c r="A115" s="237" t="s">
        <v>861</v>
      </c>
      <c r="B115" s="249" t="s">
        <v>859</v>
      </c>
      <c r="C115" s="31" t="s">
        <v>861</v>
      </c>
      <c r="D115" s="248"/>
      <c r="E115" s="250"/>
      <c r="F115" s="238">
        <v>58.664999999999999</v>
      </c>
      <c r="G115" s="257" t="s">
        <v>859</v>
      </c>
    </row>
    <row r="116" spans="1:7" s="1" customFormat="1" ht="30.75" customHeight="1">
      <c r="A116" s="237" t="s">
        <v>860</v>
      </c>
      <c r="B116" s="249" t="s">
        <v>859</v>
      </c>
      <c r="C116" s="31" t="s">
        <v>860</v>
      </c>
      <c r="D116" s="248"/>
      <c r="E116" s="250"/>
      <c r="F116" s="238">
        <v>26.471</v>
      </c>
      <c r="G116" s="257" t="s">
        <v>859</v>
      </c>
    </row>
    <row r="117" spans="1:7" s="1" customFormat="1" ht="30.75" customHeight="1">
      <c r="A117" s="237" t="s">
        <v>858</v>
      </c>
      <c r="B117" s="30" t="s">
        <v>853</v>
      </c>
      <c r="C117" s="31" t="s">
        <v>858</v>
      </c>
      <c r="D117" s="248"/>
      <c r="E117" s="250"/>
      <c r="F117" s="238">
        <v>38.558999999999997</v>
      </c>
      <c r="G117" s="31" t="s">
        <v>853</v>
      </c>
    </row>
    <row r="118" spans="1:7" s="1" customFormat="1" ht="30.75" customHeight="1">
      <c r="A118" s="237" t="s">
        <v>857</v>
      </c>
      <c r="B118" s="30" t="s">
        <v>853</v>
      </c>
      <c r="C118" s="31" t="s">
        <v>857</v>
      </c>
      <c r="D118" s="248"/>
      <c r="E118" s="250"/>
      <c r="F118" s="238">
        <v>30.812999999999999</v>
      </c>
      <c r="G118" s="31" t="s">
        <v>853</v>
      </c>
    </row>
    <row r="119" spans="1:7" s="1" customFormat="1" ht="30.75" customHeight="1">
      <c r="A119" s="237" t="s">
        <v>856</v>
      </c>
      <c r="B119" s="30" t="s">
        <v>853</v>
      </c>
      <c r="C119" s="31" t="s">
        <v>856</v>
      </c>
      <c r="D119" s="248"/>
      <c r="E119" s="250"/>
      <c r="F119" s="238">
        <v>36.536999999999999</v>
      </c>
      <c r="G119" s="31" t="s">
        <v>853</v>
      </c>
    </row>
    <row r="120" spans="1:7" s="1" customFormat="1" ht="39.75" customHeight="1">
      <c r="A120" s="237" t="s">
        <v>855</v>
      </c>
      <c r="B120" s="30" t="s">
        <v>853</v>
      </c>
      <c r="C120" s="31" t="s">
        <v>855</v>
      </c>
      <c r="D120" s="248"/>
      <c r="E120" s="250"/>
      <c r="F120" s="238">
        <v>13.234</v>
      </c>
      <c r="G120" s="31" t="s">
        <v>853</v>
      </c>
    </row>
    <row r="121" spans="1:7" s="1" customFormat="1" ht="30.75" customHeight="1">
      <c r="A121" s="237" t="s">
        <v>854</v>
      </c>
      <c r="B121" s="30" t="s">
        <v>853</v>
      </c>
      <c r="C121" s="31" t="s">
        <v>854</v>
      </c>
      <c r="D121" s="248"/>
      <c r="E121" s="250"/>
      <c r="F121" s="238">
        <v>1.8460000000000001</v>
      </c>
      <c r="G121" s="31" t="s">
        <v>853</v>
      </c>
    </row>
    <row r="122" spans="1:7" s="1" customFormat="1" ht="30.75" customHeight="1">
      <c r="A122" s="252" t="s">
        <v>852</v>
      </c>
      <c r="B122" s="249" t="s">
        <v>851</v>
      </c>
      <c r="C122" s="251" t="s">
        <v>852</v>
      </c>
      <c r="D122" s="248"/>
      <c r="E122" s="250"/>
      <c r="F122" s="238">
        <v>122.824</v>
      </c>
      <c r="G122" s="246" t="s">
        <v>851</v>
      </c>
    </row>
    <row r="123" spans="1:7" s="1" customFormat="1" ht="30.75" customHeight="1">
      <c r="A123" s="252" t="s">
        <v>850</v>
      </c>
      <c r="B123" s="249" t="s">
        <v>737</v>
      </c>
      <c r="C123" s="251" t="s">
        <v>850</v>
      </c>
      <c r="D123" s="248"/>
      <c r="E123" s="250"/>
      <c r="F123" s="238">
        <v>36.427160000000001</v>
      </c>
      <c r="G123" s="246" t="s">
        <v>737</v>
      </c>
    </row>
    <row r="124" spans="1:7" s="1" customFormat="1" ht="30.75" customHeight="1">
      <c r="A124" s="252" t="s">
        <v>849</v>
      </c>
      <c r="B124" s="249" t="s">
        <v>737</v>
      </c>
      <c r="C124" s="251" t="s">
        <v>849</v>
      </c>
      <c r="D124" s="248"/>
      <c r="E124" s="250"/>
      <c r="F124" s="238">
        <v>37.629489999999997</v>
      </c>
      <c r="G124" s="246" t="s">
        <v>737</v>
      </c>
    </row>
    <row r="125" spans="1:7" s="1" customFormat="1" ht="30.75" customHeight="1">
      <c r="A125" s="237" t="s">
        <v>848</v>
      </c>
      <c r="B125" s="249" t="s">
        <v>737</v>
      </c>
      <c r="C125" s="31" t="s">
        <v>848</v>
      </c>
      <c r="D125" s="248"/>
      <c r="E125" s="250"/>
      <c r="F125" s="238">
        <v>168.76599999999999</v>
      </c>
      <c r="G125" s="246" t="s">
        <v>737</v>
      </c>
    </row>
    <row r="126" spans="1:7" s="1" customFormat="1" ht="40.5" customHeight="1">
      <c r="A126" s="252" t="s">
        <v>847</v>
      </c>
      <c r="B126" s="249" t="s">
        <v>845</v>
      </c>
      <c r="C126" s="251" t="s">
        <v>846</v>
      </c>
      <c r="D126" s="248"/>
      <c r="E126" s="250" t="s">
        <v>775</v>
      </c>
      <c r="F126" s="250">
        <v>33.7044</v>
      </c>
      <c r="G126" s="246" t="s">
        <v>845</v>
      </c>
    </row>
    <row r="127" spans="1:7" s="1" customFormat="1" ht="31.5" customHeight="1">
      <c r="A127" s="252" t="s">
        <v>844</v>
      </c>
      <c r="B127" s="249" t="s">
        <v>735</v>
      </c>
      <c r="C127" s="251" t="s">
        <v>844</v>
      </c>
      <c r="D127" s="248"/>
      <c r="E127" s="250"/>
      <c r="F127" s="238">
        <v>23.736599999999999</v>
      </c>
      <c r="G127" s="246" t="s">
        <v>735</v>
      </c>
    </row>
    <row r="128" spans="1:7" s="1" customFormat="1" ht="31.5" customHeight="1">
      <c r="A128" s="252" t="s">
        <v>843</v>
      </c>
      <c r="B128" s="249" t="s">
        <v>842</v>
      </c>
      <c r="C128" s="251" t="s">
        <v>843</v>
      </c>
      <c r="D128" s="248"/>
      <c r="E128" s="250"/>
      <c r="F128" s="238">
        <v>8.0489999999999995</v>
      </c>
      <c r="G128" s="246" t="s">
        <v>842</v>
      </c>
    </row>
    <row r="129" spans="1:7" s="1" customFormat="1" ht="31.5" customHeight="1">
      <c r="A129" s="252" t="s">
        <v>841</v>
      </c>
      <c r="B129" s="249" t="s">
        <v>837</v>
      </c>
      <c r="C129" s="251" t="s">
        <v>841</v>
      </c>
      <c r="D129" s="248"/>
      <c r="E129" s="250"/>
      <c r="F129" s="238">
        <v>1.026</v>
      </c>
      <c r="G129" s="246" t="s">
        <v>837</v>
      </c>
    </row>
    <row r="130" spans="1:7" s="1" customFormat="1" ht="31.5" customHeight="1">
      <c r="A130" s="252" t="s">
        <v>840</v>
      </c>
      <c r="B130" s="249" t="s">
        <v>837</v>
      </c>
      <c r="C130" s="251" t="s">
        <v>840</v>
      </c>
      <c r="D130" s="248"/>
      <c r="E130" s="250"/>
      <c r="F130" s="238">
        <v>15.143000000000001</v>
      </c>
      <c r="G130" s="246" t="s">
        <v>837</v>
      </c>
    </row>
    <row r="131" spans="1:7" s="1" customFormat="1" ht="31.5" customHeight="1">
      <c r="A131" s="252" t="s">
        <v>839</v>
      </c>
      <c r="B131" s="249" t="s">
        <v>837</v>
      </c>
      <c r="C131" s="251" t="s">
        <v>839</v>
      </c>
      <c r="D131" s="248"/>
      <c r="E131" s="250"/>
      <c r="F131" s="238">
        <v>20.835999999999999</v>
      </c>
      <c r="G131" s="246" t="s">
        <v>837</v>
      </c>
    </row>
    <row r="132" spans="1:7" s="1" customFormat="1" ht="31.5" customHeight="1">
      <c r="A132" s="252" t="s">
        <v>838</v>
      </c>
      <c r="B132" s="249" t="s">
        <v>837</v>
      </c>
      <c r="C132" s="251" t="s">
        <v>838</v>
      </c>
      <c r="D132" s="248"/>
      <c r="E132" s="250"/>
      <c r="F132" s="238">
        <v>15.143000000000001</v>
      </c>
      <c r="G132" s="246" t="s">
        <v>837</v>
      </c>
    </row>
    <row r="133" spans="1:7" s="1" customFormat="1" ht="31.5" customHeight="1">
      <c r="A133" s="256" t="s">
        <v>836</v>
      </c>
      <c r="B133" s="30" t="s">
        <v>834</v>
      </c>
      <c r="C133" s="255" t="s">
        <v>836</v>
      </c>
      <c r="D133" s="248"/>
      <c r="E133" s="250"/>
      <c r="F133" s="238">
        <v>13.337999999999999</v>
      </c>
      <c r="G133" s="31" t="s">
        <v>834</v>
      </c>
    </row>
    <row r="134" spans="1:7" s="1" customFormat="1" ht="31.5" customHeight="1">
      <c r="A134" s="256" t="s">
        <v>835</v>
      </c>
      <c r="B134" s="30" t="s">
        <v>834</v>
      </c>
      <c r="C134" s="255" t="s">
        <v>835</v>
      </c>
      <c r="D134" s="248"/>
      <c r="E134" s="250"/>
      <c r="F134" s="238">
        <v>101.574</v>
      </c>
      <c r="G134" s="31" t="s">
        <v>834</v>
      </c>
    </row>
    <row r="135" spans="1:7" s="1" customFormat="1" ht="37.5" customHeight="1">
      <c r="A135" s="252" t="s">
        <v>833</v>
      </c>
      <c r="B135" s="249" t="s">
        <v>832</v>
      </c>
      <c r="C135" s="251" t="s">
        <v>833</v>
      </c>
      <c r="D135" s="248"/>
      <c r="E135" s="250"/>
      <c r="F135" s="238">
        <v>17.138000000000002</v>
      </c>
      <c r="G135" s="246" t="s">
        <v>832</v>
      </c>
    </row>
    <row r="136" spans="1:7" s="1" customFormat="1" ht="27.75" customHeight="1">
      <c r="A136" s="254" t="s">
        <v>831</v>
      </c>
      <c r="B136" s="249" t="s">
        <v>829</v>
      </c>
      <c r="C136" s="253" t="s">
        <v>831</v>
      </c>
      <c r="D136" s="248"/>
      <c r="E136" s="250"/>
      <c r="F136" s="238">
        <v>11.682</v>
      </c>
      <c r="G136" s="246" t="s">
        <v>829</v>
      </c>
    </row>
    <row r="137" spans="1:7" s="1" customFormat="1" ht="31.5" customHeight="1">
      <c r="A137" s="252" t="s">
        <v>830</v>
      </c>
      <c r="B137" s="249" t="s">
        <v>829</v>
      </c>
      <c r="C137" s="251" t="s">
        <v>830</v>
      </c>
      <c r="D137" s="248"/>
      <c r="E137" s="250"/>
      <c r="F137" s="238">
        <v>37.815579999999997</v>
      </c>
      <c r="G137" s="246" t="s">
        <v>829</v>
      </c>
    </row>
    <row r="138" spans="1:7" s="1" customFormat="1" ht="31.5" customHeight="1">
      <c r="A138" s="237" t="s">
        <v>828</v>
      </c>
      <c r="B138" s="30" t="s">
        <v>825</v>
      </c>
      <c r="C138" s="31" t="s">
        <v>828</v>
      </c>
      <c r="D138" s="248"/>
      <c r="E138" s="250"/>
      <c r="F138" s="238">
        <v>2.052</v>
      </c>
      <c r="G138" s="29" t="s">
        <v>825</v>
      </c>
    </row>
    <row r="139" spans="1:7" s="1" customFormat="1" ht="31.5" customHeight="1">
      <c r="A139" s="237" t="s">
        <v>827</v>
      </c>
      <c r="B139" s="30" t="s">
        <v>825</v>
      </c>
      <c r="C139" s="31" t="s">
        <v>827</v>
      </c>
      <c r="D139" s="248"/>
      <c r="E139" s="250"/>
      <c r="F139" s="238">
        <v>2.5649999999999999</v>
      </c>
      <c r="G139" s="29" t="s">
        <v>825</v>
      </c>
    </row>
    <row r="140" spans="1:7" s="1" customFormat="1" ht="31.5" customHeight="1">
      <c r="A140" s="237" t="s">
        <v>826</v>
      </c>
      <c r="B140" s="30" t="s">
        <v>825</v>
      </c>
      <c r="C140" s="31" t="s">
        <v>826</v>
      </c>
      <c r="D140" s="248"/>
      <c r="E140" s="250"/>
      <c r="F140" s="238">
        <v>1.5389999999999999</v>
      </c>
      <c r="G140" s="29" t="s">
        <v>825</v>
      </c>
    </row>
    <row r="141" spans="1:7" s="1" customFormat="1" ht="31.5" customHeight="1">
      <c r="A141" s="237" t="s">
        <v>824</v>
      </c>
      <c r="B141" s="30" t="s">
        <v>823</v>
      </c>
      <c r="C141" s="31" t="s">
        <v>824</v>
      </c>
      <c r="D141" s="248"/>
      <c r="E141" s="250"/>
      <c r="F141" s="238">
        <v>4.1040000000000001</v>
      </c>
      <c r="G141" s="29" t="s">
        <v>823</v>
      </c>
    </row>
    <row r="142" spans="1:7" s="1" customFormat="1" ht="31.5" customHeight="1">
      <c r="A142" s="237" t="s">
        <v>822</v>
      </c>
      <c r="B142" s="30" t="s">
        <v>818</v>
      </c>
      <c r="C142" s="31" t="s">
        <v>822</v>
      </c>
      <c r="D142" s="248"/>
      <c r="E142" s="250"/>
      <c r="F142" s="238">
        <v>1.5389999999999999</v>
      </c>
      <c r="G142" s="29" t="s">
        <v>818</v>
      </c>
    </row>
    <row r="143" spans="1:7" s="1" customFormat="1" ht="31.5" customHeight="1">
      <c r="A143" s="237" t="s">
        <v>821</v>
      </c>
      <c r="B143" s="30" t="s">
        <v>818</v>
      </c>
      <c r="C143" s="31" t="s">
        <v>821</v>
      </c>
      <c r="D143" s="248"/>
      <c r="E143" s="250"/>
      <c r="F143" s="238">
        <v>34.465000000000003</v>
      </c>
      <c r="G143" s="29" t="s">
        <v>818</v>
      </c>
    </row>
    <row r="144" spans="1:7" s="1" customFormat="1" ht="31.5" customHeight="1">
      <c r="A144" s="237" t="s">
        <v>820</v>
      </c>
      <c r="B144" s="30" t="s">
        <v>818</v>
      </c>
      <c r="C144" s="31" t="s">
        <v>820</v>
      </c>
      <c r="D144" s="248"/>
      <c r="E144" s="250"/>
      <c r="F144" s="238">
        <v>1.5389999999999999</v>
      </c>
      <c r="G144" s="29" t="s">
        <v>818</v>
      </c>
    </row>
    <row r="145" spans="1:7" s="1" customFormat="1" ht="31.5" customHeight="1">
      <c r="A145" s="237" t="s">
        <v>819</v>
      </c>
      <c r="B145" s="30" t="s">
        <v>818</v>
      </c>
      <c r="C145" s="31" t="s">
        <v>819</v>
      </c>
      <c r="D145" s="248"/>
      <c r="E145" s="250"/>
      <c r="F145" s="238">
        <v>1.026</v>
      </c>
      <c r="G145" s="29" t="s">
        <v>818</v>
      </c>
    </row>
    <row r="146" spans="1:7" s="1" customFormat="1" ht="31.5" customHeight="1">
      <c r="A146" s="237" t="s">
        <v>817</v>
      </c>
      <c r="B146" s="30" t="s">
        <v>816</v>
      </c>
      <c r="C146" s="31" t="s">
        <v>817</v>
      </c>
      <c r="D146" s="248"/>
      <c r="E146" s="250"/>
      <c r="F146" s="229">
        <v>581.96500000000003</v>
      </c>
      <c r="G146" s="31" t="s">
        <v>816</v>
      </c>
    </row>
    <row r="147" spans="1:7" s="1" customFormat="1" ht="31.5" customHeight="1">
      <c r="A147" s="237" t="s">
        <v>815</v>
      </c>
      <c r="B147" s="30" t="s">
        <v>814</v>
      </c>
      <c r="C147" s="31" t="s">
        <v>815</v>
      </c>
      <c r="D147" s="248"/>
      <c r="E147" s="250"/>
      <c r="F147" s="238">
        <v>70.370999999999995</v>
      </c>
      <c r="G147" s="31" t="s">
        <v>814</v>
      </c>
    </row>
    <row r="148" spans="1:7" s="1" customFormat="1" ht="31.5" customHeight="1">
      <c r="A148" s="237" t="s">
        <v>813</v>
      </c>
      <c r="B148" s="30" t="s">
        <v>811</v>
      </c>
      <c r="C148" s="31" t="s">
        <v>813</v>
      </c>
      <c r="D148" s="248"/>
      <c r="E148" s="250"/>
      <c r="F148" s="229">
        <v>708.46299999999997</v>
      </c>
      <c r="G148" s="31" t="s">
        <v>811</v>
      </c>
    </row>
    <row r="149" spans="1:7" s="1" customFormat="1" ht="31.5" customHeight="1">
      <c r="A149" s="237" t="s">
        <v>812</v>
      </c>
      <c r="B149" s="30" t="s">
        <v>811</v>
      </c>
      <c r="C149" s="31" t="s">
        <v>812</v>
      </c>
      <c r="D149" s="248"/>
      <c r="E149" s="250"/>
      <c r="F149" s="229">
        <v>873.04700000000003</v>
      </c>
      <c r="G149" s="31" t="s">
        <v>811</v>
      </c>
    </row>
    <row r="150" spans="1:7" s="1" customFormat="1" ht="30" customHeight="1">
      <c r="A150" s="252" t="s">
        <v>810</v>
      </c>
      <c r="B150" s="249" t="s">
        <v>804</v>
      </c>
      <c r="C150" s="251" t="s">
        <v>810</v>
      </c>
      <c r="D150" s="248"/>
      <c r="E150" s="250"/>
      <c r="F150" s="238">
        <v>385.34300000000002</v>
      </c>
      <c r="G150" s="246" t="s">
        <v>804</v>
      </c>
    </row>
    <row r="151" spans="1:7" s="1" customFormat="1" ht="30" customHeight="1">
      <c r="A151" s="252" t="s">
        <v>809</v>
      </c>
      <c r="B151" s="249" t="s">
        <v>804</v>
      </c>
      <c r="C151" s="251" t="s">
        <v>809</v>
      </c>
      <c r="D151" s="248"/>
      <c r="E151" s="250"/>
      <c r="F151" s="238">
        <v>208.23840000000001</v>
      </c>
      <c r="G151" s="246" t="s">
        <v>804</v>
      </c>
    </row>
    <row r="152" spans="1:7" s="1" customFormat="1" ht="30" customHeight="1">
      <c r="A152" s="237" t="s">
        <v>808</v>
      </c>
      <c r="B152" s="249" t="s">
        <v>804</v>
      </c>
      <c r="C152" s="31" t="s">
        <v>808</v>
      </c>
      <c r="D152" s="248"/>
      <c r="E152" s="250"/>
      <c r="F152" s="238">
        <v>146.46600000000001</v>
      </c>
      <c r="G152" s="246" t="s">
        <v>804</v>
      </c>
    </row>
    <row r="153" spans="1:7" s="1" customFormat="1" ht="30" customHeight="1">
      <c r="A153" s="237" t="s">
        <v>807</v>
      </c>
      <c r="B153" s="249" t="s">
        <v>804</v>
      </c>
      <c r="C153" s="31" t="s">
        <v>807</v>
      </c>
      <c r="D153" s="248"/>
      <c r="E153" s="250"/>
      <c r="F153" s="238">
        <v>70.994</v>
      </c>
      <c r="G153" s="246" t="s">
        <v>804</v>
      </c>
    </row>
    <row r="154" spans="1:7" s="1" customFormat="1" ht="30" customHeight="1">
      <c r="A154" s="237" t="s">
        <v>806</v>
      </c>
      <c r="B154" s="249" t="s">
        <v>804</v>
      </c>
      <c r="C154" s="31" t="s">
        <v>806</v>
      </c>
      <c r="D154" s="248"/>
      <c r="E154" s="250"/>
      <c r="F154" s="238">
        <v>18.681999999999999</v>
      </c>
      <c r="G154" s="246" t="s">
        <v>804</v>
      </c>
    </row>
    <row r="155" spans="1:7" s="1" customFormat="1" ht="30" customHeight="1">
      <c r="A155" s="237" t="s">
        <v>805</v>
      </c>
      <c r="B155" s="249" t="s">
        <v>804</v>
      </c>
      <c r="C155" s="31" t="s">
        <v>805</v>
      </c>
      <c r="D155" s="248"/>
      <c r="E155" s="250"/>
      <c r="F155" s="238">
        <v>360.75</v>
      </c>
      <c r="G155" s="246" t="s">
        <v>804</v>
      </c>
    </row>
    <row r="156" spans="1:7" s="1" customFormat="1" ht="39.75" customHeight="1">
      <c r="A156" s="252" t="s">
        <v>803</v>
      </c>
      <c r="B156" s="249" t="s">
        <v>801</v>
      </c>
      <c r="C156" s="251" t="s">
        <v>802</v>
      </c>
      <c r="D156" s="248"/>
      <c r="E156" s="250" t="s">
        <v>775</v>
      </c>
      <c r="F156" s="250">
        <v>251.75200000000001</v>
      </c>
      <c r="G156" s="246" t="s">
        <v>801</v>
      </c>
    </row>
    <row r="157" spans="1:7" s="1" customFormat="1" ht="31.5" customHeight="1">
      <c r="A157" s="252" t="s">
        <v>800</v>
      </c>
      <c r="B157" s="249" t="s">
        <v>797</v>
      </c>
      <c r="C157" s="251" t="s">
        <v>800</v>
      </c>
      <c r="D157" s="248"/>
      <c r="E157" s="250"/>
      <c r="F157" s="250">
        <v>835.72320000000002</v>
      </c>
      <c r="G157" s="246" t="s">
        <v>797</v>
      </c>
    </row>
    <row r="158" spans="1:7" s="1" customFormat="1" ht="31.5" customHeight="1">
      <c r="A158" s="252" t="s">
        <v>799</v>
      </c>
      <c r="B158" s="249" t="s">
        <v>797</v>
      </c>
      <c r="C158" s="251" t="s">
        <v>799</v>
      </c>
      <c r="D158" s="248"/>
      <c r="E158" s="250"/>
      <c r="F158" s="250">
        <v>387.36799999999999</v>
      </c>
      <c r="G158" s="246" t="s">
        <v>797</v>
      </c>
    </row>
    <row r="159" spans="1:7" s="1" customFormat="1" ht="31.5" customHeight="1">
      <c r="A159" s="237" t="s">
        <v>798</v>
      </c>
      <c r="B159" s="249" t="s">
        <v>797</v>
      </c>
      <c r="C159" s="31" t="s">
        <v>798</v>
      </c>
      <c r="D159" s="248"/>
      <c r="E159" s="250"/>
      <c r="F159" s="250">
        <v>587.28300000000002</v>
      </c>
      <c r="G159" s="246" t="s">
        <v>797</v>
      </c>
    </row>
    <row r="160" spans="1:7" s="1" customFormat="1" ht="31.5" customHeight="1">
      <c r="A160" s="252" t="s">
        <v>796</v>
      </c>
      <c r="B160" s="249" t="s">
        <v>795</v>
      </c>
      <c r="C160" s="251" t="s">
        <v>796</v>
      </c>
      <c r="D160" s="248"/>
      <c r="E160" s="250" t="s">
        <v>775</v>
      </c>
      <c r="F160" s="250">
        <v>637.59136000000001</v>
      </c>
      <c r="G160" s="246" t="s">
        <v>795</v>
      </c>
    </row>
    <row r="161" spans="1:7" s="1" customFormat="1" ht="30.75" customHeight="1">
      <c r="A161" s="237" t="s">
        <v>794</v>
      </c>
      <c r="B161" s="30" t="s">
        <v>789</v>
      </c>
      <c r="C161" s="31" t="s">
        <v>794</v>
      </c>
      <c r="D161" s="248"/>
      <c r="E161" s="250"/>
      <c r="F161" s="229">
        <v>723.39</v>
      </c>
      <c r="G161" s="31" t="s">
        <v>789</v>
      </c>
    </row>
    <row r="162" spans="1:7" s="1" customFormat="1" ht="30.75" customHeight="1">
      <c r="A162" s="237" t="s">
        <v>793</v>
      </c>
      <c r="B162" s="30" t="s">
        <v>789</v>
      </c>
      <c r="C162" s="31" t="s">
        <v>793</v>
      </c>
      <c r="D162" s="248"/>
      <c r="E162" s="250"/>
      <c r="F162" s="229">
        <v>80.673000000000002</v>
      </c>
      <c r="G162" s="31" t="s">
        <v>789</v>
      </c>
    </row>
    <row r="163" spans="1:7" s="1" customFormat="1" ht="30.75" customHeight="1">
      <c r="A163" s="237" t="s">
        <v>792</v>
      </c>
      <c r="B163" s="30" t="s">
        <v>789</v>
      </c>
      <c r="C163" s="31" t="s">
        <v>792</v>
      </c>
      <c r="D163" s="248"/>
      <c r="E163" s="250"/>
      <c r="F163" s="229">
        <v>577.90200000000004</v>
      </c>
      <c r="G163" s="31" t="s">
        <v>789</v>
      </c>
    </row>
    <row r="164" spans="1:7" s="1" customFormat="1" ht="30.75" customHeight="1">
      <c r="A164" s="237" t="s">
        <v>791</v>
      </c>
      <c r="B164" s="30" t="s">
        <v>789</v>
      </c>
      <c r="C164" s="31" t="s">
        <v>791</v>
      </c>
      <c r="D164" s="248"/>
      <c r="E164" s="250"/>
      <c r="F164" s="229">
        <v>177.999</v>
      </c>
      <c r="G164" s="31" t="s">
        <v>789</v>
      </c>
    </row>
    <row r="165" spans="1:7" s="1" customFormat="1" ht="30.75" customHeight="1">
      <c r="A165" s="237" t="s">
        <v>790</v>
      </c>
      <c r="B165" s="30" t="s">
        <v>789</v>
      </c>
      <c r="C165" s="31" t="s">
        <v>790</v>
      </c>
      <c r="D165" s="248"/>
      <c r="E165" s="250"/>
      <c r="F165" s="229">
        <v>68.643000000000001</v>
      </c>
      <c r="G165" s="31" t="s">
        <v>789</v>
      </c>
    </row>
    <row r="166" spans="1:7" s="1" customFormat="1" ht="30.75" customHeight="1">
      <c r="A166" s="237" t="s">
        <v>788</v>
      </c>
      <c r="B166" s="30" t="s">
        <v>786</v>
      </c>
      <c r="C166" s="31" t="s">
        <v>788</v>
      </c>
      <c r="D166" s="248"/>
      <c r="E166" s="250"/>
      <c r="F166" s="229">
        <v>190.845</v>
      </c>
      <c r="G166" s="31" t="s">
        <v>786</v>
      </c>
    </row>
    <row r="167" spans="1:7" s="1" customFormat="1" ht="30.75" customHeight="1">
      <c r="A167" s="237" t="s">
        <v>787</v>
      </c>
      <c r="B167" s="30" t="s">
        <v>786</v>
      </c>
      <c r="C167" s="31" t="s">
        <v>787</v>
      </c>
      <c r="D167" s="248"/>
      <c r="E167" s="250"/>
      <c r="F167" s="229">
        <v>208.17500000000001</v>
      </c>
      <c r="G167" s="31" t="s">
        <v>786</v>
      </c>
    </row>
    <row r="168" spans="1:7" s="1" customFormat="1" ht="30.75" customHeight="1">
      <c r="A168" s="237" t="s">
        <v>785</v>
      </c>
      <c r="B168" s="30" t="s">
        <v>782</v>
      </c>
      <c r="C168" s="31" t="s">
        <v>785</v>
      </c>
      <c r="D168" s="248"/>
      <c r="E168" s="250"/>
      <c r="F168" s="229">
        <v>175.99600000000001</v>
      </c>
      <c r="G168" s="31" t="s">
        <v>782</v>
      </c>
    </row>
    <row r="169" spans="1:7" s="1" customFormat="1" ht="30.75" customHeight="1">
      <c r="A169" s="237" t="s">
        <v>784</v>
      </c>
      <c r="B169" s="30" t="s">
        <v>782</v>
      </c>
      <c r="C169" s="31" t="s">
        <v>784</v>
      </c>
      <c r="D169" s="248"/>
      <c r="E169" s="250"/>
      <c r="F169" s="229">
        <v>336.39</v>
      </c>
      <c r="G169" s="31" t="s">
        <v>782</v>
      </c>
    </row>
    <row r="170" spans="1:7" s="1" customFormat="1" ht="30.75" customHeight="1">
      <c r="A170" s="237" t="s">
        <v>783</v>
      </c>
      <c r="B170" s="30" t="s">
        <v>782</v>
      </c>
      <c r="C170" s="31" t="s">
        <v>783</v>
      </c>
      <c r="D170" s="248"/>
      <c r="E170" s="250"/>
      <c r="F170" s="229">
        <v>297.75099999999998</v>
      </c>
      <c r="G170" s="31" t="s">
        <v>782</v>
      </c>
    </row>
    <row r="171" spans="1:7" s="1" customFormat="1" ht="30" customHeight="1">
      <c r="A171" s="252" t="s">
        <v>781</v>
      </c>
      <c r="B171" s="249" t="s">
        <v>777</v>
      </c>
      <c r="C171" s="251" t="s">
        <v>781</v>
      </c>
      <c r="D171" s="248"/>
      <c r="E171" s="250" t="s">
        <v>775</v>
      </c>
      <c r="F171" s="250">
        <v>54.046799999999998</v>
      </c>
      <c r="G171" s="246" t="s">
        <v>777</v>
      </c>
    </row>
    <row r="172" spans="1:7" s="1" customFormat="1" ht="32.25" customHeight="1">
      <c r="A172" s="252" t="s">
        <v>780</v>
      </c>
      <c r="B172" s="249" t="s">
        <v>777</v>
      </c>
      <c r="C172" s="251" t="s">
        <v>780</v>
      </c>
      <c r="D172" s="248"/>
      <c r="E172" s="250"/>
      <c r="F172" s="238">
        <v>39.2196</v>
      </c>
      <c r="G172" s="246" t="s">
        <v>777</v>
      </c>
    </row>
    <row r="173" spans="1:7" s="1" customFormat="1" ht="32.25" customHeight="1">
      <c r="A173" s="252" t="s">
        <v>779</v>
      </c>
      <c r="B173" s="249" t="s">
        <v>777</v>
      </c>
      <c r="C173" s="251" t="s">
        <v>779</v>
      </c>
      <c r="D173" s="248"/>
      <c r="E173" s="250"/>
      <c r="F173" s="238">
        <v>24.243600000000001</v>
      </c>
      <c r="G173" s="246" t="s">
        <v>777</v>
      </c>
    </row>
    <row r="174" spans="1:7" s="1" customFormat="1" ht="32.25" customHeight="1">
      <c r="A174" s="252" t="s">
        <v>778</v>
      </c>
      <c r="B174" s="249" t="s">
        <v>777</v>
      </c>
      <c r="C174" s="251" t="s">
        <v>778</v>
      </c>
      <c r="D174" s="248"/>
      <c r="E174" s="250" t="s">
        <v>775</v>
      </c>
      <c r="F174" s="238">
        <v>15.379200000000001</v>
      </c>
      <c r="G174" s="246" t="s">
        <v>777</v>
      </c>
    </row>
    <row r="175" spans="1:7" s="1" customFormat="1" ht="28.5" customHeight="1">
      <c r="A175" s="237" t="s">
        <v>776</v>
      </c>
      <c r="B175" s="249" t="s">
        <v>777</v>
      </c>
      <c r="C175" s="31" t="s">
        <v>776</v>
      </c>
      <c r="D175" s="248"/>
      <c r="E175" s="247"/>
      <c r="F175" s="229">
        <v>184.083</v>
      </c>
      <c r="G175" s="246"/>
    </row>
    <row r="176" spans="1:7" s="1" customFormat="1">
      <c r="A176" s="230" t="s">
        <v>748</v>
      </c>
      <c r="B176" s="230" t="s">
        <v>748</v>
      </c>
      <c r="C176" s="245"/>
      <c r="D176" s="244"/>
      <c r="E176" s="243" t="s">
        <v>775</v>
      </c>
      <c r="F176" s="243">
        <v>234.39699999999999</v>
      </c>
      <c r="G176" s="230" t="s">
        <v>748</v>
      </c>
    </row>
    <row r="177" spans="1:11" s="219" customFormat="1">
      <c r="A177" s="223" t="s">
        <v>775</v>
      </c>
      <c r="B177" s="223" t="s">
        <v>720</v>
      </c>
      <c r="C177" s="242"/>
      <c r="D177" s="242"/>
      <c r="E177" s="241">
        <f>SUM(E107:E176)</f>
        <v>0</v>
      </c>
      <c r="F177" s="241">
        <f>SUM(F107:F176)</f>
        <v>12245.641140000002</v>
      </c>
      <c r="G177" s="240"/>
      <c r="H177" s="220"/>
      <c r="I177" s="220"/>
      <c r="J177" s="220"/>
      <c r="K177" s="220"/>
    </row>
    <row r="178" spans="1:11" ht="39" customHeight="1">
      <c r="A178" s="231" t="s">
        <v>774</v>
      </c>
      <c r="B178" s="230" t="s">
        <v>771</v>
      </c>
      <c r="C178" s="231" t="s">
        <v>773</v>
      </c>
      <c r="D178" s="226"/>
      <c r="E178" s="225"/>
      <c r="F178" s="239">
        <v>173.67246</v>
      </c>
      <c r="G178" s="230" t="s">
        <v>771</v>
      </c>
    </row>
    <row r="179" spans="1:11" ht="39" customHeight="1">
      <c r="A179" s="231" t="s">
        <v>772</v>
      </c>
      <c r="B179" s="230" t="s">
        <v>771</v>
      </c>
      <c r="C179" s="231" t="s">
        <v>772</v>
      </c>
      <c r="D179" s="226"/>
      <c r="E179" s="225"/>
      <c r="F179" s="239">
        <v>677.89991999999995</v>
      </c>
      <c r="G179" s="230" t="s">
        <v>771</v>
      </c>
    </row>
    <row r="180" spans="1:11" ht="42" customHeight="1">
      <c r="A180" s="185" t="s">
        <v>770</v>
      </c>
      <c r="B180" s="184" t="s">
        <v>740</v>
      </c>
      <c r="C180" s="185" t="s">
        <v>770</v>
      </c>
      <c r="D180" s="226"/>
      <c r="E180" s="225"/>
      <c r="F180" s="229">
        <v>24.526319999999998</v>
      </c>
      <c r="G180" s="184" t="s">
        <v>740</v>
      </c>
    </row>
    <row r="181" spans="1:11" ht="42" customHeight="1">
      <c r="A181" s="185" t="s">
        <v>769</v>
      </c>
      <c r="B181" s="184" t="s">
        <v>740</v>
      </c>
      <c r="C181" s="185" t="s">
        <v>769</v>
      </c>
      <c r="D181" s="226"/>
      <c r="E181" s="225"/>
      <c r="F181" s="229">
        <v>2.1545999999999998</v>
      </c>
      <c r="G181" s="184" t="s">
        <v>740</v>
      </c>
    </row>
    <row r="182" spans="1:11" ht="43.5" customHeight="1">
      <c r="A182" s="185" t="s">
        <v>768</v>
      </c>
      <c r="B182" s="184" t="s">
        <v>767</v>
      </c>
      <c r="C182" s="185" t="s">
        <v>768</v>
      </c>
      <c r="D182" s="226"/>
      <c r="E182" s="225"/>
      <c r="F182" s="229">
        <v>1.8468</v>
      </c>
      <c r="G182" s="184" t="s">
        <v>767</v>
      </c>
    </row>
    <row r="183" spans="1:11" ht="54" customHeight="1">
      <c r="A183" s="185" t="s">
        <v>766</v>
      </c>
      <c r="B183" s="184" t="s">
        <v>765</v>
      </c>
      <c r="C183" s="185" t="s">
        <v>766</v>
      </c>
      <c r="D183" s="226"/>
      <c r="E183" s="225"/>
      <c r="F183" s="229">
        <v>18.193850000000001</v>
      </c>
      <c r="G183" s="184" t="s">
        <v>765</v>
      </c>
    </row>
    <row r="184" spans="1:11">
      <c r="A184" s="181"/>
      <c r="B184" s="230" t="s">
        <v>748</v>
      </c>
      <c r="C184" s="181"/>
      <c r="D184" s="181"/>
      <c r="E184" s="224"/>
      <c r="F184" s="230">
        <v>17.274799999999999</v>
      </c>
      <c r="G184" s="235"/>
    </row>
    <row r="185" spans="1:11" s="219" customFormat="1">
      <c r="A185" s="223"/>
      <c r="B185" s="223" t="s">
        <v>720</v>
      </c>
      <c r="C185" s="223"/>
      <c r="D185" s="223"/>
      <c r="E185" s="222"/>
      <c r="F185" s="222">
        <f>SUM(F178:F184)</f>
        <v>915.56875000000002</v>
      </c>
      <c r="G185" s="59"/>
      <c r="H185" s="220"/>
      <c r="I185" s="220"/>
      <c r="J185" s="220"/>
      <c r="K185" s="220"/>
    </row>
    <row r="186" spans="1:11" ht="25.5">
      <c r="A186" s="231" t="s">
        <v>764</v>
      </c>
      <c r="B186" s="230" t="s">
        <v>751</v>
      </c>
      <c r="C186" s="231" t="s">
        <v>764</v>
      </c>
      <c r="D186" s="226"/>
      <c r="E186" s="225"/>
      <c r="F186" s="229">
        <v>68.347200000000001</v>
      </c>
      <c r="G186" s="230" t="s">
        <v>751</v>
      </c>
    </row>
    <row r="187" spans="1:11" ht="25.5">
      <c r="A187" s="231" t="s">
        <v>763</v>
      </c>
      <c r="B187" s="230" t="s">
        <v>751</v>
      </c>
      <c r="C187" s="231" t="s">
        <v>763</v>
      </c>
      <c r="D187" s="226"/>
      <c r="E187" s="225"/>
      <c r="F187" s="229">
        <v>67.194000000000003</v>
      </c>
      <c r="G187" s="230" t="s">
        <v>751</v>
      </c>
    </row>
    <row r="188" spans="1:11" ht="25.5">
      <c r="A188" s="185" t="s">
        <v>762</v>
      </c>
      <c r="B188" s="184" t="s">
        <v>756</v>
      </c>
      <c r="C188" s="185" t="s">
        <v>762</v>
      </c>
      <c r="D188" s="226"/>
      <c r="E188" s="225"/>
      <c r="F188" s="229">
        <v>63.338090000000001</v>
      </c>
      <c r="G188" s="184" t="s">
        <v>756</v>
      </c>
    </row>
    <row r="189" spans="1:11" ht="30" customHeight="1">
      <c r="A189" s="185" t="s">
        <v>761</v>
      </c>
      <c r="B189" s="184" t="s">
        <v>756</v>
      </c>
      <c r="C189" s="185" t="s">
        <v>761</v>
      </c>
      <c r="D189" s="226"/>
      <c r="E189" s="225"/>
      <c r="F189" s="229">
        <v>71.534999999999997</v>
      </c>
      <c r="G189" s="184" t="s">
        <v>756</v>
      </c>
    </row>
    <row r="190" spans="1:11" ht="30" customHeight="1">
      <c r="A190" s="185" t="s">
        <v>760</v>
      </c>
      <c r="B190" s="184" t="s">
        <v>756</v>
      </c>
      <c r="C190" s="185" t="s">
        <v>760</v>
      </c>
      <c r="D190" s="226"/>
      <c r="E190" s="225"/>
      <c r="F190" s="229">
        <v>76.075999999999993</v>
      </c>
      <c r="G190" s="184" t="s">
        <v>756</v>
      </c>
    </row>
    <row r="191" spans="1:11" ht="30" customHeight="1">
      <c r="A191" s="185" t="s">
        <v>759</v>
      </c>
      <c r="B191" s="184" t="s">
        <v>756</v>
      </c>
      <c r="C191" s="185" t="s">
        <v>759</v>
      </c>
      <c r="D191" s="226"/>
      <c r="E191" s="225"/>
      <c r="F191" s="229">
        <v>78.113</v>
      </c>
      <c r="G191" s="184" t="s">
        <v>756</v>
      </c>
    </row>
    <row r="192" spans="1:11" ht="30" customHeight="1">
      <c r="A192" s="185" t="s">
        <v>758</v>
      </c>
      <c r="B192" s="184" t="s">
        <v>756</v>
      </c>
      <c r="C192" s="185" t="s">
        <v>758</v>
      </c>
      <c r="D192" s="226"/>
      <c r="E192" s="225"/>
      <c r="F192" s="229">
        <v>76.222999999999999</v>
      </c>
      <c r="G192" s="184" t="s">
        <v>756</v>
      </c>
    </row>
    <row r="193" spans="1:7" s="1" customFormat="1" ht="30" customHeight="1">
      <c r="A193" s="185" t="s">
        <v>757</v>
      </c>
      <c r="B193" s="184" t="s">
        <v>756</v>
      </c>
      <c r="C193" s="185" t="s">
        <v>757</v>
      </c>
      <c r="D193" s="226"/>
      <c r="E193" s="225"/>
      <c r="F193" s="229">
        <v>77.387</v>
      </c>
      <c r="G193" s="184" t="s">
        <v>756</v>
      </c>
    </row>
    <row r="194" spans="1:7" s="1" customFormat="1" ht="30" customHeight="1">
      <c r="A194" s="185" t="s">
        <v>755</v>
      </c>
      <c r="B194" s="230" t="s">
        <v>751</v>
      </c>
      <c r="C194" s="185" t="s">
        <v>755</v>
      </c>
      <c r="D194" s="226"/>
      <c r="E194" s="225"/>
      <c r="F194" s="229">
        <v>71.307000000000002</v>
      </c>
      <c r="G194" s="230" t="s">
        <v>751</v>
      </c>
    </row>
    <row r="195" spans="1:7" s="1" customFormat="1" ht="30" customHeight="1">
      <c r="A195" s="185" t="s">
        <v>754</v>
      </c>
      <c r="B195" s="230" t="s">
        <v>751</v>
      </c>
      <c r="C195" s="185" t="s">
        <v>754</v>
      </c>
      <c r="D195" s="226"/>
      <c r="E195" s="225"/>
      <c r="F195" s="229">
        <v>68.984999999999999</v>
      </c>
      <c r="G195" s="230" t="s">
        <v>751</v>
      </c>
    </row>
    <row r="196" spans="1:7" s="1" customFormat="1" ht="30" customHeight="1">
      <c r="A196" s="185" t="s">
        <v>753</v>
      </c>
      <c r="B196" s="230" t="s">
        <v>751</v>
      </c>
      <c r="C196" s="185" t="s">
        <v>753</v>
      </c>
      <c r="D196" s="226"/>
      <c r="E196" s="225"/>
      <c r="F196" s="229">
        <v>81.11</v>
      </c>
      <c r="G196" s="230" t="s">
        <v>751</v>
      </c>
    </row>
    <row r="197" spans="1:7" s="1" customFormat="1" ht="30" customHeight="1">
      <c r="A197" s="185" t="s">
        <v>752</v>
      </c>
      <c r="B197" s="230" t="s">
        <v>751</v>
      </c>
      <c r="C197" s="185" t="s">
        <v>752</v>
      </c>
      <c r="D197" s="226"/>
      <c r="E197" s="225"/>
      <c r="F197" s="229">
        <v>77.659000000000006</v>
      </c>
      <c r="G197" s="230" t="s">
        <v>751</v>
      </c>
    </row>
    <row r="198" spans="1:7" s="1" customFormat="1" ht="38.25">
      <c r="A198" s="185" t="s">
        <v>750</v>
      </c>
      <c r="B198" s="184" t="s">
        <v>749</v>
      </c>
      <c r="C198" s="185" t="s">
        <v>750</v>
      </c>
      <c r="D198" s="226"/>
      <c r="E198" s="225"/>
      <c r="F198" s="229">
        <v>25.014690000000002</v>
      </c>
      <c r="G198" s="184" t="s">
        <v>749</v>
      </c>
    </row>
    <row r="199" spans="1:7" s="1" customFormat="1">
      <c r="A199" s="181"/>
      <c r="B199" s="230" t="s">
        <v>748</v>
      </c>
      <c r="C199" s="181"/>
      <c r="D199" s="181"/>
      <c r="E199" s="224"/>
      <c r="F199" s="238">
        <v>14.282999999999999</v>
      </c>
      <c r="G199" s="235"/>
    </row>
    <row r="200" spans="1:7" s="1" customFormat="1">
      <c r="A200" s="181"/>
      <c r="B200" s="223" t="s">
        <v>720</v>
      </c>
      <c r="C200" s="181"/>
      <c r="D200" s="181"/>
      <c r="E200" s="224"/>
      <c r="F200" s="222">
        <f>SUM(F186:F199)</f>
        <v>916.57197999999994</v>
      </c>
      <c r="G200" s="235"/>
    </row>
    <row r="202" spans="1:7" s="1" customFormat="1" ht="37.5" customHeight="1">
      <c r="A202" s="231" t="s">
        <v>747</v>
      </c>
      <c r="B202" s="230" t="s">
        <v>745</v>
      </c>
      <c r="C202" s="231" t="s">
        <v>746</v>
      </c>
      <c r="D202" s="226"/>
      <c r="E202" s="225"/>
      <c r="F202" s="229">
        <v>195</v>
      </c>
      <c r="G202" s="230" t="s">
        <v>745</v>
      </c>
    </row>
    <row r="203" spans="1:7" s="1" customFormat="1" ht="37.5" customHeight="1">
      <c r="A203" s="236" t="s">
        <v>744</v>
      </c>
      <c r="B203" s="29" t="s">
        <v>743</v>
      </c>
      <c r="C203" s="236" t="s">
        <v>744</v>
      </c>
      <c r="D203" s="226"/>
      <c r="E203" s="225"/>
      <c r="F203" s="229">
        <v>8.468</v>
      </c>
      <c r="G203" s="29" t="s">
        <v>743</v>
      </c>
    </row>
    <row r="204" spans="1:7" s="1" customFormat="1" ht="37.5" customHeight="1">
      <c r="A204" s="237" t="s">
        <v>742</v>
      </c>
      <c r="B204" s="31" t="s">
        <v>740</v>
      </c>
      <c r="C204" s="237" t="s">
        <v>742</v>
      </c>
      <c r="D204" s="226"/>
      <c r="E204" s="225"/>
      <c r="F204" s="229">
        <v>48.703000000000003</v>
      </c>
      <c r="G204" s="31" t="s">
        <v>740</v>
      </c>
    </row>
    <row r="205" spans="1:7" s="1" customFormat="1" ht="37.5" customHeight="1">
      <c r="A205" s="237" t="s">
        <v>741</v>
      </c>
      <c r="B205" s="31" t="s">
        <v>740</v>
      </c>
      <c r="C205" s="237" t="s">
        <v>741</v>
      </c>
      <c r="D205" s="226"/>
      <c r="E205" s="225"/>
      <c r="F205" s="229">
        <v>68.215999999999994</v>
      </c>
      <c r="G205" s="31" t="s">
        <v>740</v>
      </c>
    </row>
    <row r="206" spans="1:7" s="1" customFormat="1" ht="37.5" customHeight="1">
      <c r="A206" s="236" t="s">
        <v>739</v>
      </c>
      <c r="B206" s="29" t="s">
        <v>737</v>
      </c>
      <c r="C206" s="236" t="s">
        <v>738</v>
      </c>
      <c r="D206" s="226"/>
      <c r="E206" s="225"/>
      <c r="F206" s="234">
        <v>49.610999999999997</v>
      </c>
      <c r="G206" s="29" t="s">
        <v>737</v>
      </c>
    </row>
    <row r="207" spans="1:7" s="1" customFormat="1" ht="37.5" customHeight="1">
      <c r="A207" s="236" t="s">
        <v>736</v>
      </c>
      <c r="B207" s="29" t="s">
        <v>735</v>
      </c>
      <c r="C207" s="236" t="s">
        <v>736</v>
      </c>
      <c r="D207" s="226"/>
      <c r="E207" s="225"/>
      <c r="F207" s="229">
        <v>27.492999999999999</v>
      </c>
      <c r="G207" s="29" t="s">
        <v>735</v>
      </c>
    </row>
    <row r="208" spans="1:7" s="1" customFormat="1">
      <c r="A208" s="181"/>
      <c r="B208" s="223" t="s">
        <v>720</v>
      </c>
      <c r="C208" s="181"/>
      <c r="D208" s="181"/>
      <c r="E208" s="224"/>
      <c r="F208" s="222">
        <f>SUM(F202:F207)</f>
        <v>397.49099999999999</v>
      </c>
      <c r="G208" s="235"/>
    </row>
    <row r="209" spans="1:11" ht="63.75">
      <c r="A209" s="231" t="s">
        <v>734</v>
      </c>
      <c r="B209" s="181" t="s">
        <v>733</v>
      </c>
      <c r="C209" s="231" t="s">
        <v>734</v>
      </c>
      <c r="D209" s="226"/>
      <c r="E209" s="225"/>
      <c r="F209" s="234">
        <v>2550.1017000000002</v>
      </c>
      <c r="G209" s="181" t="s">
        <v>733</v>
      </c>
    </row>
    <row r="210" spans="1:11" ht="63.75">
      <c r="A210" s="231" t="s">
        <v>734</v>
      </c>
      <c r="B210" s="181" t="s">
        <v>733</v>
      </c>
      <c r="C210" s="231" t="s">
        <v>734</v>
      </c>
      <c r="D210" s="226"/>
      <c r="E210" s="225"/>
      <c r="F210" s="229">
        <v>1623.8920000000001</v>
      </c>
      <c r="G210" s="233" t="s">
        <v>733</v>
      </c>
    </row>
    <row r="211" spans="1:11" ht="63.75">
      <c r="A211" s="231" t="s">
        <v>734</v>
      </c>
      <c r="B211" s="181" t="s">
        <v>733</v>
      </c>
      <c r="C211" s="231" t="s">
        <v>734</v>
      </c>
      <c r="D211" s="226"/>
      <c r="E211" s="225"/>
      <c r="F211" s="229">
        <v>2102.3780000000002</v>
      </c>
      <c r="G211" s="233" t="s">
        <v>733</v>
      </c>
    </row>
    <row r="212" spans="1:11" ht="63.75">
      <c r="A212" s="231" t="s">
        <v>734</v>
      </c>
      <c r="B212" s="181" t="s">
        <v>733</v>
      </c>
      <c r="C212" s="231" t="s">
        <v>734</v>
      </c>
      <c r="D212" s="226"/>
      <c r="E212" s="225"/>
      <c r="F212" s="229">
        <v>1576.7429999999999</v>
      </c>
      <c r="G212" s="233" t="s">
        <v>733</v>
      </c>
    </row>
    <row r="213" spans="1:11" s="219" customFormat="1">
      <c r="A213" s="223"/>
      <c r="B213" s="223" t="s">
        <v>720</v>
      </c>
      <c r="C213" s="223"/>
      <c r="D213" s="223"/>
      <c r="E213" s="222"/>
      <c r="F213" s="232">
        <f>SUM(F209:F212)</f>
        <v>7853.1147000000001</v>
      </c>
      <c r="G213" s="59"/>
      <c r="H213" s="220"/>
      <c r="I213" s="220"/>
      <c r="J213" s="220"/>
      <c r="K213" s="220"/>
    </row>
    <row r="214" spans="1:11" ht="40.5" customHeight="1">
      <c r="A214" s="231" t="s">
        <v>732</v>
      </c>
      <c r="B214" s="230" t="s">
        <v>730</v>
      </c>
      <c r="C214" s="231" t="s">
        <v>732</v>
      </c>
      <c r="D214" s="226"/>
      <c r="E214" s="225"/>
      <c r="F214" s="229">
        <v>22.74718</v>
      </c>
      <c r="G214" s="230" t="s">
        <v>730</v>
      </c>
    </row>
    <row r="215" spans="1:11" ht="37.5" customHeight="1">
      <c r="A215" s="231" t="s">
        <v>731</v>
      </c>
      <c r="B215" s="230" t="s">
        <v>730</v>
      </c>
      <c r="C215" s="231" t="s">
        <v>731</v>
      </c>
      <c r="D215" s="226"/>
      <c r="E215" s="225"/>
      <c r="F215" s="229">
        <v>16.082540000000002</v>
      </c>
      <c r="G215" s="230" t="s">
        <v>730</v>
      </c>
    </row>
    <row r="216" spans="1:11" ht="30" customHeight="1">
      <c r="A216" s="185" t="s">
        <v>729</v>
      </c>
      <c r="B216" s="184" t="s">
        <v>728</v>
      </c>
      <c r="C216" s="185" t="s">
        <v>729</v>
      </c>
      <c r="D216" s="226"/>
      <c r="E216" s="225"/>
      <c r="F216" s="229">
        <v>451.428</v>
      </c>
      <c r="G216" s="184" t="s">
        <v>728</v>
      </c>
    </row>
    <row r="217" spans="1:11" ht="51.75" customHeight="1">
      <c r="A217" s="227" t="s">
        <v>727</v>
      </c>
      <c r="B217" s="184" t="s">
        <v>726</v>
      </c>
      <c r="C217" s="227" t="s">
        <v>727</v>
      </c>
      <c r="D217" s="226"/>
      <c r="E217" s="225"/>
      <c r="F217" s="229">
        <v>73</v>
      </c>
      <c r="G217" s="184" t="s">
        <v>726</v>
      </c>
    </row>
    <row r="218" spans="1:11" ht="89.25">
      <c r="A218" s="228" t="s">
        <v>725</v>
      </c>
      <c r="B218" s="184" t="s">
        <v>721</v>
      </c>
      <c r="C218" s="228" t="s">
        <v>725</v>
      </c>
      <c r="D218" s="226"/>
      <c r="E218" s="225"/>
      <c r="F218" s="224">
        <v>1968.097</v>
      </c>
      <c r="G218" s="184" t="s">
        <v>721</v>
      </c>
    </row>
    <row r="219" spans="1:11" ht="97.5" customHeight="1">
      <c r="A219" s="227" t="s">
        <v>724</v>
      </c>
      <c r="B219" s="184" t="s">
        <v>723</v>
      </c>
      <c r="C219" s="227" t="s">
        <v>724</v>
      </c>
      <c r="D219" s="226"/>
      <c r="E219" s="225"/>
      <c r="F219" s="224">
        <v>152.57900000000001</v>
      </c>
      <c r="G219" s="184" t="s">
        <v>723</v>
      </c>
    </row>
    <row r="220" spans="1:11" ht="49.5" customHeight="1">
      <c r="A220" s="227" t="s">
        <v>722</v>
      </c>
      <c r="B220" s="184" t="s">
        <v>721</v>
      </c>
      <c r="C220" s="227" t="s">
        <v>722</v>
      </c>
      <c r="D220" s="226"/>
      <c r="E220" s="225"/>
      <c r="F220" s="224">
        <v>90.11</v>
      </c>
      <c r="G220" s="184" t="s">
        <v>721</v>
      </c>
    </row>
    <row r="221" spans="1:11" s="219" customFormat="1">
      <c r="A221" s="223"/>
      <c r="B221" s="223" t="s">
        <v>720</v>
      </c>
      <c r="C221" s="223"/>
      <c r="D221" s="223"/>
      <c r="E221" s="222"/>
      <c r="F221" s="221">
        <f>SUM(F214:F220)</f>
        <v>2774.0437200000006</v>
      </c>
      <c r="G221" s="59"/>
      <c r="H221" s="220"/>
      <c r="I221" s="220"/>
      <c r="J221" s="220"/>
      <c r="K221" s="220"/>
    </row>
    <row r="222" spans="1:11">
      <c r="F222" s="218">
        <f>F177+F185+F200+F208+F213+F221</f>
        <v>25102.431290000004</v>
      </c>
    </row>
    <row r="223" spans="1:11" s="2" customFormat="1" ht="13.5" thickBot="1">
      <c r="A223" s="53" t="s">
        <v>719</v>
      </c>
      <c r="B223" s="53"/>
      <c r="C223" s="53"/>
      <c r="D223" s="53"/>
      <c r="E223" s="53"/>
      <c r="F223" s="53"/>
      <c r="G223" s="217"/>
    </row>
    <row r="224" spans="1:11" s="200" customFormat="1" ht="18.75" customHeight="1" thickBot="1">
      <c r="A224" s="203"/>
      <c r="B224" s="216" t="s">
        <v>647</v>
      </c>
      <c r="C224" s="216"/>
      <c r="D224" s="193">
        <f>SUM(D225:D244)</f>
        <v>36336.421999999999</v>
      </c>
      <c r="E224" s="193"/>
      <c r="F224" s="192">
        <f>SUM(F225:F244)</f>
        <v>15967.81739</v>
      </c>
      <c r="G224" s="198"/>
      <c r="H224" s="201"/>
      <c r="I224" s="201"/>
      <c r="J224" s="201"/>
      <c r="K224" s="201"/>
    </row>
    <row r="225" spans="1:11" s="200" customFormat="1" ht="48" customHeight="1" thickBot="1">
      <c r="A225" s="205" t="s">
        <v>718</v>
      </c>
      <c r="B225" s="195" t="s">
        <v>717</v>
      </c>
      <c r="C225" s="215" t="s">
        <v>647</v>
      </c>
      <c r="D225" s="197">
        <f>5364.315-4226.427+4226.427-450.991-4913.324</f>
        <v>0</v>
      </c>
      <c r="E225" s="197"/>
      <c r="F225" s="196"/>
      <c r="G225" s="108" t="s">
        <v>716</v>
      </c>
      <c r="H225" s="201"/>
      <c r="I225" s="201"/>
      <c r="J225" s="201"/>
      <c r="K225" s="201"/>
    </row>
    <row r="226" spans="1:11" s="200" customFormat="1" ht="51.75" customHeight="1" thickBot="1">
      <c r="A226" s="205" t="s">
        <v>715</v>
      </c>
      <c r="B226" s="195" t="s">
        <v>714</v>
      </c>
      <c r="C226" s="215" t="s">
        <v>647</v>
      </c>
      <c r="D226" s="197">
        <f>6276.001-5359.732-916.269</f>
        <v>0</v>
      </c>
      <c r="E226" s="197"/>
      <c r="F226" s="196"/>
      <c r="G226" s="108" t="s">
        <v>713</v>
      </c>
      <c r="H226" s="201"/>
      <c r="I226" s="201"/>
      <c r="J226" s="201"/>
      <c r="K226" s="201"/>
    </row>
    <row r="227" spans="1:11" s="200" customFormat="1" ht="54" customHeight="1" thickBot="1">
      <c r="A227" s="205" t="s">
        <v>712</v>
      </c>
      <c r="B227" s="195" t="s">
        <v>711</v>
      </c>
      <c r="C227" s="215" t="s">
        <v>647</v>
      </c>
      <c r="D227" s="197">
        <f>5922.236-5922.236+4442.236-1442.236</f>
        <v>3000</v>
      </c>
      <c r="E227" s="197"/>
      <c r="F227" s="196"/>
      <c r="G227" s="108" t="s">
        <v>710</v>
      </c>
      <c r="H227" s="201"/>
      <c r="I227" s="201"/>
      <c r="J227" s="201"/>
      <c r="K227" s="201"/>
    </row>
    <row r="228" spans="1:11" s="200" customFormat="1" ht="55.5" customHeight="1" thickBot="1">
      <c r="A228" s="205" t="s">
        <v>709</v>
      </c>
      <c r="B228" s="195" t="s">
        <v>708</v>
      </c>
      <c r="C228" s="215" t="s">
        <v>647</v>
      </c>
      <c r="D228" s="197">
        <f>2932.74-2000+76.905-932.74-76.905</f>
        <v>-2.5579538487363607E-13</v>
      </c>
      <c r="E228" s="197"/>
      <c r="F228" s="196"/>
      <c r="G228" s="108"/>
      <c r="H228" s="201"/>
      <c r="I228" s="201"/>
      <c r="J228" s="201"/>
      <c r="K228" s="201"/>
    </row>
    <row r="229" spans="1:11" s="200" customFormat="1" ht="55.5" customHeight="1" thickBot="1">
      <c r="A229" s="205" t="s">
        <v>707</v>
      </c>
      <c r="B229" s="195" t="s">
        <v>706</v>
      </c>
      <c r="C229" s="215" t="s">
        <v>647</v>
      </c>
      <c r="D229" s="197">
        <f>6593.474-6593.474</f>
        <v>0</v>
      </c>
      <c r="E229" s="197"/>
      <c r="F229" s="196"/>
      <c r="G229" s="108"/>
      <c r="H229" s="201"/>
      <c r="I229" s="201"/>
      <c r="J229" s="201"/>
      <c r="K229" s="201"/>
    </row>
    <row r="230" spans="1:11" s="200" customFormat="1" ht="117.75" customHeight="1" thickBot="1">
      <c r="A230" s="205" t="s">
        <v>705</v>
      </c>
      <c r="B230" s="195" t="s">
        <v>704</v>
      </c>
      <c r="C230" s="195" t="s">
        <v>647</v>
      </c>
      <c r="D230" s="197">
        <f>8937.618+1514.285</f>
        <v>10451.903</v>
      </c>
      <c r="E230" s="197"/>
      <c r="F230" s="196">
        <f>2467.90449+1451.1575+751.84587+1526.81696+53.61759+1568.70903+436.68097+10.74337+36.02866</f>
        <v>8303.5044400000006</v>
      </c>
      <c r="G230" s="108" t="s">
        <v>703</v>
      </c>
      <c r="H230" s="201"/>
      <c r="I230" s="201"/>
      <c r="J230" s="201"/>
      <c r="K230" s="201"/>
    </row>
    <row r="231" spans="1:11" s="200" customFormat="1" ht="69" customHeight="1" thickBot="1">
      <c r="A231" s="205" t="s">
        <v>702</v>
      </c>
      <c r="B231" s="195" t="s">
        <v>701</v>
      </c>
      <c r="C231" s="195" t="s">
        <v>647</v>
      </c>
      <c r="D231" s="197">
        <v>11443.088</v>
      </c>
      <c r="E231" s="197"/>
      <c r="F231" s="196">
        <v>3348.55789</v>
      </c>
      <c r="G231" s="108" t="s">
        <v>700</v>
      </c>
      <c r="H231" s="201"/>
      <c r="I231" s="201"/>
      <c r="J231" s="201"/>
      <c r="K231" s="201"/>
    </row>
    <row r="232" spans="1:11" s="200" customFormat="1" ht="48" customHeight="1" thickBot="1">
      <c r="A232" s="205" t="s">
        <v>699</v>
      </c>
      <c r="B232" s="195" t="s">
        <v>698</v>
      </c>
      <c r="C232" s="215" t="s">
        <v>647</v>
      </c>
      <c r="D232" s="197">
        <f>4503.797-4503.797+3000</f>
        <v>3000</v>
      </c>
      <c r="E232" s="197"/>
      <c r="F232" s="196"/>
      <c r="G232" s="108" t="s">
        <v>697</v>
      </c>
      <c r="H232" s="201"/>
      <c r="I232" s="201"/>
      <c r="J232" s="201"/>
      <c r="K232" s="201"/>
    </row>
    <row r="233" spans="1:11" s="200" customFormat="1" ht="51.75" customHeight="1" thickBot="1">
      <c r="A233" s="205" t="s">
        <v>696</v>
      </c>
      <c r="B233" s="195" t="s">
        <v>695</v>
      </c>
      <c r="C233" s="215" t="s">
        <v>647</v>
      </c>
      <c r="D233" s="197">
        <v>653.16800000000001</v>
      </c>
      <c r="E233" s="197"/>
      <c r="F233" s="196">
        <f>354.9996+177.4998</f>
        <v>532.49939999999992</v>
      </c>
      <c r="G233" s="108" t="s">
        <v>362</v>
      </c>
      <c r="H233" s="201"/>
      <c r="I233" s="201"/>
      <c r="J233" s="201"/>
      <c r="K233" s="201"/>
    </row>
    <row r="234" spans="1:11" s="200" customFormat="1" ht="52.5" customHeight="1" thickBot="1">
      <c r="A234" s="205" t="s">
        <v>694</v>
      </c>
      <c r="B234" s="195" t="s">
        <v>693</v>
      </c>
      <c r="C234" s="215" t="s">
        <v>647</v>
      </c>
      <c r="D234" s="197">
        <v>536.87099999999998</v>
      </c>
      <c r="E234" s="197"/>
      <c r="F234" s="196">
        <f>304.887+152.4435</f>
        <v>457.33050000000003</v>
      </c>
      <c r="G234" s="108" t="s">
        <v>670</v>
      </c>
      <c r="H234" s="201"/>
      <c r="I234" s="201"/>
      <c r="J234" s="201"/>
      <c r="K234" s="201"/>
    </row>
    <row r="235" spans="1:11" s="200" customFormat="1" ht="46.5" customHeight="1" thickBot="1">
      <c r="A235" s="205" t="s">
        <v>692</v>
      </c>
      <c r="B235" s="195" t="s">
        <v>691</v>
      </c>
      <c r="C235" s="215" t="s">
        <v>647</v>
      </c>
      <c r="D235" s="197">
        <v>548.69000000000005</v>
      </c>
      <c r="E235" s="197"/>
      <c r="F235" s="196">
        <f>305.157+152.5785</f>
        <v>457.7355</v>
      </c>
      <c r="G235" s="108" t="s">
        <v>670</v>
      </c>
      <c r="H235" s="201"/>
      <c r="I235" s="201"/>
      <c r="J235" s="201"/>
      <c r="K235" s="201"/>
    </row>
    <row r="236" spans="1:11" s="200" customFormat="1" ht="54.75" customHeight="1" thickBot="1">
      <c r="A236" s="205" t="s">
        <v>690</v>
      </c>
      <c r="B236" s="195" t="s">
        <v>689</v>
      </c>
      <c r="C236" s="215" t="s">
        <v>647</v>
      </c>
      <c r="D236" s="197">
        <v>526.51099999999997</v>
      </c>
      <c r="E236" s="197"/>
      <c r="F236" s="196">
        <f>315.9066+157.9533</f>
        <v>473.85990000000004</v>
      </c>
      <c r="G236" s="108" t="s">
        <v>362</v>
      </c>
      <c r="H236" s="201"/>
      <c r="I236" s="201"/>
      <c r="J236" s="201"/>
      <c r="K236" s="201"/>
    </row>
    <row r="237" spans="1:11" s="200" customFormat="1" ht="48.75" customHeight="1" thickBot="1">
      <c r="A237" s="205" t="s">
        <v>688</v>
      </c>
      <c r="B237" s="195" t="s">
        <v>687</v>
      </c>
      <c r="C237" s="215" t="s">
        <v>647</v>
      </c>
      <c r="D237" s="197">
        <v>509.89600000000002</v>
      </c>
      <c r="E237" s="197"/>
      <c r="F237" s="196">
        <f>305.937+142.1196</f>
        <v>448.0566</v>
      </c>
      <c r="G237" s="108" t="s">
        <v>686</v>
      </c>
      <c r="H237" s="201"/>
      <c r="I237" s="201"/>
      <c r="J237" s="201"/>
      <c r="K237" s="201"/>
    </row>
    <row r="238" spans="1:11" s="200" customFormat="1" ht="56.25" customHeight="1" thickBot="1">
      <c r="A238" s="205" t="s">
        <v>685</v>
      </c>
      <c r="B238" s="195" t="s">
        <v>684</v>
      </c>
      <c r="C238" s="215" t="s">
        <v>647</v>
      </c>
      <c r="D238" s="197">
        <v>703.899</v>
      </c>
      <c r="E238" s="197"/>
      <c r="F238" s="196">
        <v>422.33812</v>
      </c>
      <c r="G238" s="108" t="s">
        <v>362</v>
      </c>
      <c r="H238" s="201"/>
      <c r="I238" s="201"/>
      <c r="J238" s="201"/>
      <c r="K238" s="201"/>
    </row>
    <row r="239" spans="1:11" s="200" customFormat="1" ht="39" thickBot="1">
      <c r="A239" s="205" t="s">
        <v>683</v>
      </c>
      <c r="B239" s="195" t="s">
        <v>682</v>
      </c>
      <c r="C239" s="215" t="s">
        <v>647</v>
      </c>
      <c r="D239" s="197">
        <v>403.28500000000003</v>
      </c>
      <c r="E239" s="197"/>
      <c r="F239" s="196">
        <f>241.971+120.9855</f>
        <v>362.95650000000001</v>
      </c>
      <c r="G239" s="108" t="s">
        <v>391</v>
      </c>
      <c r="H239" s="201"/>
      <c r="I239" s="201"/>
      <c r="J239" s="201"/>
      <c r="K239" s="201"/>
    </row>
    <row r="240" spans="1:11" s="200" customFormat="1" ht="26.25" thickBot="1">
      <c r="A240" s="205" t="s">
        <v>681</v>
      </c>
      <c r="B240" s="195" t="s">
        <v>680</v>
      </c>
      <c r="C240" s="215" t="s">
        <v>647</v>
      </c>
      <c r="D240" s="197">
        <v>516.15</v>
      </c>
      <c r="E240" s="197"/>
      <c r="F240" s="196">
        <f>129.3708+129.3708</f>
        <v>258.74160000000001</v>
      </c>
      <c r="G240" s="108" t="s">
        <v>467</v>
      </c>
      <c r="H240" s="201"/>
      <c r="I240" s="201"/>
      <c r="J240" s="201"/>
      <c r="K240" s="201"/>
    </row>
    <row r="241" spans="1:11" s="200" customFormat="1" ht="39" thickBot="1">
      <c r="A241" s="205" t="s">
        <v>679</v>
      </c>
      <c r="B241" s="195" t="s">
        <v>678</v>
      </c>
      <c r="C241" s="215" t="s">
        <v>647</v>
      </c>
      <c r="D241" s="197">
        <v>486.26900000000001</v>
      </c>
      <c r="E241" s="197"/>
      <c r="F241" s="196">
        <f>291.7614+145.8807</f>
        <v>437.64209999999997</v>
      </c>
      <c r="G241" s="108" t="s">
        <v>391</v>
      </c>
      <c r="H241" s="201"/>
      <c r="I241" s="201"/>
      <c r="J241" s="201"/>
      <c r="K241" s="201"/>
    </row>
    <row r="242" spans="1:11" s="200" customFormat="1" ht="26.25" thickBot="1">
      <c r="A242" s="205" t="s">
        <v>677</v>
      </c>
      <c r="B242" s="195" t="s">
        <v>676</v>
      </c>
      <c r="C242" s="215" t="s">
        <v>647</v>
      </c>
      <c r="D242" s="197">
        <v>141.99199999999999</v>
      </c>
      <c r="E242" s="197"/>
      <c r="F242" s="196">
        <v>79.895240000000001</v>
      </c>
      <c r="G242" s="108" t="s">
        <v>391</v>
      </c>
      <c r="H242" s="201"/>
      <c r="I242" s="201"/>
      <c r="J242" s="201"/>
      <c r="K242" s="201"/>
    </row>
    <row r="243" spans="1:11" s="200" customFormat="1" ht="39" thickBot="1">
      <c r="A243" s="205" t="s">
        <v>675</v>
      </c>
      <c r="B243" s="195" t="s">
        <v>674</v>
      </c>
      <c r="C243" s="215" t="s">
        <v>647</v>
      </c>
      <c r="D243" s="197">
        <f>5359.732-2359.732</f>
        <v>3000</v>
      </c>
      <c r="E243" s="197"/>
      <c r="F243" s="196"/>
      <c r="G243" s="108" t="s">
        <v>673</v>
      </c>
      <c r="H243" s="201"/>
      <c r="I243" s="201"/>
      <c r="J243" s="201"/>
      <c r="K243" s="201"/>
    </row>
    <row r="244" spans="1:11" s="200" customFormat="1" ht="39" thickBot="1">
      <c r="A244" s="205" t="s">
        <v>672</v>
      </c>
      <c r="B244" s="195" t="s">
        <v>671</v>
      </c>
      <c r="C244" s="215" t="s">
        <v>647</v>
      </c>
      <c r="D244" s="197">
        <v>414.7</v>
      </c>
      <c r="E244" s="197"/>
      <c r="F244" s="196">
        <v>384.69959999999998</v>
      </c>
      <c r="G244" s="108" t="s">
        <v>670</v>
      </c>
      <c r="H244" s="201"/>
      <c r="I244" s="201"/>
      <c r="J244" s="201"/>
      <c r="K244" s="201"/>
    </row>
    <row r="245" spans="1:11" s="200" customFormat="1" ht="26.25" thickBot="1">
      <c r="A245" s="205" t="s">
        <v>669</v>
      </c>
      <c r="B245" s="195" t="s">
        <v>668</v>
      </c>
      <c r="C245" s="215" t="s">
        <v>647</v>
      </c>
      <c r="D245" s="197">
        <v>0</v>
      </c>
      <c r="E245" s="197"/>
      <c r="F245" s="196"/>
      <c r="G245" s="108" t="s">
        <v>667</v>
      </c>
      <c r="H245" s="201"/>
      <c r="I245" s="201"/>
      <c r="J245" s="201"/>
      <c r="K245" s="201"/>
    </row>
    <row r="246" spans="1:11" s="200" customFormat="1" ht="15" customHeight="1" thickBot="1">
      <c r="A246" s="205" t="s">
        <v>666</v>
      </c>
      <c r="B246" s="195" t="s">
        <v>665</v>
      </c>
      <c r="C246" s="215" t="s">
        <v>647</v>
      </c>
      <c r="D246" s="197">
        <v>0</v>
      </c>
      <c r="E246" s="197"/>
      <c r="F246" s="196"/>
      <c r="G246" s="108"/>
      <c r="H246" s="201"/>
      <c r="I246" s="201"/>
      <c r="J246" s="201"/>
      <c r="K246" s="201"/>
    </row>
    <row r="247" spans="1:11" s="200" customFormat="1" ht="30" customHeight="1" thickBot="1">
      <c r="A247" s="205" t="s">
        <v>664</v>
      </c>
      <c r="B247" s="195" t="s">
        <v>663</v>
      </c>
      <c r="C247" s="215" t="s">
        <v>647</v>
      </c>
      <c r="D247" s="197">
        <v>0</v>
      </c>
      <c r="E247" s="197"/>
      <c r="F247" s="196"/>
      <c r="G247" s="108"/>
      <c r="H247" s="201"/>
      <c r="I247" s="201"/>
      <c r="J247" s="201"/>
      <c r="K247" s="201"/>
    </row>
    <row r="248" spans="1:11" s="200" customFormat="1" ht="26.25" thickBot="1">
      <c r="A248" s="205" t="s">
        <v>662</v>
      </c>
      <c r="B248" s="195" t="s">
        <v>661</v>
      </c>
      <c r="C248" s="215" t="s">
        <v>647</v>
      </c>
      <c r="D248" s="197">
        <v>0</v>
      </c>
      <c r="E248" s="197"/>
      <c r="F248" s="196"/>
      <c r="G248" s="108"/>
      <c r="H248" s="201"/>
      <c r="I248" s="201"/>
      <c r="J248" s="201"/>
      <c r="K248" s="201"/>
    </row>
    <row r="249" spans="1:11" s="200" customFormat="1" ht="39" thickBot="1">
      <c r="A249" s="205" t="s">
        <v>660</v>
      </c>
      <c r="B249" s="195" t="s">
        <v>659</v>
      </c>
      <c r="C249" s="215" t="s">
        <v>647</v>
      </c>
      <c r="D249" s="197">
        <v>0</v>
      </c>
      <c r="E249" s="197"/>
      <c r="F249" s="196"/>
      <c r="G249" s="108"/>
      <c r="H249" s="201"/>
      <c r="I249" s="201"/>
      <c r="J249" s="201"/>
      <c r="K249" s="201"/>
    </row>
    <row r="250" spans="1:11" s="200" customFormat="1" ht="39" thickBot="1">
      <c r="A250" s="205" t="s">
        <v>658</v>
      </c>
      <c r="B250" s="195" t="s">
        <v>657</v>
      </c>
      <c r="C250" s="215" t="s">
        <v>647</v>
      </c>
      <c r="D250" s="197">
        <v>0</v>
      </c>
      <c r="E250" s="197"/>
      <c r="F250" s="196"/>
      <c r="G250" s="108"/>
      <c r="H250" s="201"/>
      <c r="I250" s="201"/>
      <c r="J250" s="201"/>
      <c r="K250" s="201"/>
    </row>
    <row r="251" spans="1:11" s="200" customFormat="1" ht="39" thickBot="1">
      <c r="A251" s="205" t="s">
        <v>656</v>
      </c>
      <c r="B251" s="195" t="s">
        <v>655</v>
      </c>
      <c r="C251" s="215" t="s">
        <v>647</v>
      </c>
      <c r="D251" s="197">
        <v>0</v>
      </c>
      <c r="E251" s="197"/>
      <c r="F251" s="196"/>
      <c r="G251" s="108"/>
      <c r="H251" s="201"/>
      <c r="I251" s="201"/>
      <c r="J251" s="201"/>
      <c r="K251" s="201"/>
    </row>
    <row r="252" spans="1:11" s="200" customFormat="1" ht="26.25" thickBot="1">
      <c r="A252" s="205" t="s">
        <v>654</v>
      </c>
      <c r="B252" s="195" t="s">
        <v>653</v>
      </c>
      <c r="C252" s="215" t="s">
        <v>647</v>
      </c>
      <c r="D252" s="197">
        <v>0</v>
      </c>
      <c r="E252" s="197"/>
      <c r="F252" s="196"/>
      <c r="G252" s="108"/>
      <c r="H252" s="201"/>
      <c r="I252" s="201"/>
      <c r="J252" s="201"/>
      <c r="K252" s="201"/>
    </row>
    <row r="253" spans="1:11" s="200" customFormat="1" ht="39" thickBot="1">
      <c r="A253" s="205" t="s">
        <v>652</v>
      </c>
      <c r="B253" s="195" t="s">
        <v>651</v>
      </c>
      <c r="C253" s="215" t="s">
        <v>647</v>
      </c>
      <c r="D253" s="197">
        <v>0</v>
      </c>
      <c r="E253" s="197"/>
      <c r="F253" s="196"/>
      <c r="G253" s="108" t="s">
        <v>650</v>
      </c>
      <c r="H253" s="201"/>
      <c r="I253" s="201"/>
      <c r="J253" s="201"/>
      <c r="K253" s="201"/>
    </row>
    <row r="254" spans="1:11" s="200" customFormat="1" ht="39" thickBot="1">
      <c r="A254" s="205" t="s">
        <v>649</v>
      </c>
      <c r="B254" s="195" t="s">
        <v>648</v>
      </c>
      <c r="C254" s="215" t="s">
        <v>647</v>
      </c>
      <c r="D254" s="197">
        <v>0</v>
      </c>
      <c r="E254" s="197"/>
      <c r="F254" s="196"/>
      <c r="G254" s="108"/>
      <c r="H254" s="201"/>
      <c r="I254" s="201"/>
      <c r="J254" s="201"/>
      <c r="K254" s="201"/>
    </row>
    <row r="255" spans="1:11" s="200" customFormat="1" ht="39" thickBot="1">
      <c r="A255" s="199"/>
      <c r="B255" s="199" t="s">
        <v>502</v>
      </c>
      <c r="C255" s="199"/>
      <c r="D255" s="193">
        <f>SUM(D256:D325)</f>
        <v>28047.485999999986</v>
      </c>
      <c r="E255" s="193"/>
      <c r="F255" s="192">
        <f>SUM(F256:F325)</f>
        <v>7547.4553999999998</v>
      </c>
      <c r="G255" s="198"/>
      <c r="H255" s="201"/>
      <c r="I255" s="201"/>
      <c r="J255" s="201"/>
      <c r="K255" s="201"/>
    </row>
    <row r="256" spans="1:11" s="200" customFormat="1" ht="39" thickBot="1">
      <c r="A256" s="205" t="s">
        <v>646</v>
      </c>
      <c r="B256" s="195" t="s">
        <v>645</v>
      </c>
      <c r="C256" s="195" t="s">
        <v>502</v>
      </c>
      <c r="D256" s="197">
        <f>241.085</f>
        <v>241.08500000000001</v>
      </c>
      <c r="E256" s="197"/>
      <c r="F256" s="196">
        <f>9.524+66.32406+102.85508+2.76262+40.80694</f>
        <v>222.27270000000001</v>
      </c>
      <c r="G256" s="108" t="s">
        <v>644</v>
      </c>
      <c r="H256" s="201"/>
      <c r="I256" s="201"/>
      <c r="J256" s="201"/>
      <c r="K256" s="201"/>
    </row>
    <row r="257" spans="1:11" s="200" customFormat="1" ht="39" thickBot="1">
      <c r="A257" s="205" t="s">
        <v>643</v>
      </c>
      <c r="B257" s="195" t="s">
        <v>642</v>
      </c>
      <c r="C257" s="195" t="s">
        <v>502</v>
      </c>
      <c r="D257" s="197">
        <v>468.76400000000001</v>
      </c>
      <c r="E257" s="197"/>
      <c r="F257" s="196">
        <f>6.04056+12.62444</f>
        <v>18.664999999999999</v>
      </c>
      <c r="G257" s="108" t="s">
        <v>474</v>
      </c>
      <c r="H257" s="201"/>
      <c r="I257" s="201"/>
      <c r="J257" s="201"/>
      <c r="K257" s="201"/>
    </row>
    <row r="258" spans="1:11" s="200" customFormat="1" ht="39" thickBot="1">
      <c r="A258" s="205" t="s">
        <v>641</v>
      </c>
      <c r="B258" s="195" t="s">
        <v>640</v>
      </c>
      <c r="C258" s="195" t="s">
        <v>502</v>
      </c>
      <c r="D258" s="197">
        <v>484.03100000000001</v>
      </c>
      <c r="E258" s="197"/>
      <c r="F258" s="196">
        <f>6.2313+12.7757</f>
        <v>19.007000000000001</v>
      </c>
      <c r="G258" s="108" t="s">
        <v>474</v>
      </c>
      <c r="H258" s="201"/>
      <c r="I258" s="201"/>
      <c r="J258" s="201"/>
      <c r="K258" s="201"/>
    </row>
    <row r="259" spans="1:11" s="200" customFormat="1" ht="39" thickBot="1">
      <c r="A259" s="205" t="s">
        <v>639</v>
      </c>
      <c r="B259" s="195" t="s">
        <v>638</v>
      </c>
      <c r="C259" s="195" t="s">
        <v>502</v>
      </c>
      <c r="D259" s="197">
        <v>492.346</v>
      </c>
      <c r="E259" s="197"/>
      <c r="F259" s="196">
        <f>6.3378+12.8172</f>
        <v>19.155000000000001</v>
      </c>
      <c r="G259" s="108" t="s">
        <v>474</v>
      </c>
      <c r="H259" s="201"/>
      <c r="I259" s="201"/>
      <c r="J259" s="201"/>
      <c r="K259" s="201"/>
    </row>
    <row r="260" spans="1:11" s="200" customFormat="1" ht="39" thickBot="1">
      <c r="A260" s="205" t="s">
        <v>637</v>
      </c>
      <c r="B260" s="195" t="s">
        <v>636</v>
      </c>
      <c r="C260" s="195" t="s">
        <v>502</v>
      </c>
      <c r="D260" s="197">
        <v>242.03800000000001</v>
      </c>
      <c r="E260" s="197"/>
      <c r="F260" s="196">
        <f>9.559+66.57786+128.37121+3.16528</f>
        <v>207.67334999999997</v>
      </c>
      <c r="G260" s="108" t="s">
        <v>536</v>
      </c>
      <c r="H260" s="201"/>
      <c r="I260" s="201"/>
      <c r="J260" s="201"/>
      <c r="K260" s="201"/>
    </row>
    <row r="261" spans="1:11" s="200" customFormat="1" ht="39" thickBot="1">
      <c r="A261" s="205" t="s">
        <v>635</v>
      </c>
      <c r="B261" s="195" t="s">
        <v>634</v>
      </c>
      <c r="C261" s="195" t="s">
        <v>502</v>
      </c>
      <c r="D261" s="197">
        <v>248.846</v>
      </c>
      <c r="E261" s="197"/>
      <c r="F261" s="196">
        <f>9.87+68.7246+128.53055+3.1996</f>
        <v>210.32475000000002</v>
      </c>
      <c r="G261" s="108" t="s">
        <v>519</v>
      </c>
      <c r="H261" s="201"/>
      <c r="I261" s="201"/>
      <c r="J261" s="201"/>
      <c r="K261" s="201"/>
    </row>
    <row r="262" spans="1:11" s="200" customFormat="1" ht="39" thickBot="1">
      <c r="A262" s="205" t="s">
        <v>633</v>
      </c>
      <c r="B262" s="195" t="s">
        <v>632</v>
      </c>
      <c r="C262" s="195" t="s">
        <v>502</v>
      </c>
      <c r="D262" s="197">
        <v>241.12899999999999</v>
      </c>
      <c r="E262" s="197"/>
      <c r="F262" s="196">
        <f>9.524+66.3261+128.13389+3.15784</f>
        <v>207.14183</v>
      </c>
      <c r="G262" s="108" t="s">
        <v>536</v>
      </c>
      <c r="H262" s="201"/>
      <c r="I262" s="201"/>
      <c r="J262" s="201"/>
      <c r="K262" s="201"/>
    </row>
    <row r="263" spans="1:11" s="200" customFormat="1" ht="51.75" thickBot="1">
      <c r="A263" s="205" t="s">
        <v>631</v>
      </c>
      <c r="B263" s="195" t="s">
        <v>630</v>
      </c>
      <c r="C263" s="195" t="s">
        <v>502</v>
      </c>
      <c r="D263" s="197">
        <v>729.46699999999998</v>
      </c>
      <c r="E263" s="197"/>
      <c r="F263" s="196">
        <f>9.36246+21.84574+183.76092</f>
        <v>214.96912</v>
      </c>
      <c r="G263" s="108" t="s">
        <v>494</v>
      </c>
      <c r="H263" s="201"/>
      <c r="I263" s="201"/>
      <c r="J263" s="201"/>
      <c r="K263" s="201"/>
    </row>
    <row r="264" spans="1:11" s="200" customFormat="1" ht="39" thickBot="1">
      <c r="A264" s="205" t="s">
        <v>629</v>
      </c>
      <c r="B264" s="195" t="s">
        <v>628</v>
      </c>
      <c r="C264" s="195" t="s">
        <v>502</v>
      </c>
      <c r="D264" s="197">
        <v>492.37400000000002</v>
      </c>
      <c r="E264" s="197"/>
      <c r="F264" s="196">
        <f>6.3381+12.5989</f>
        <v>18.937000000000001</v>
      </c>
      <c r="G264" s="108" t="s">
        <v>474</v>
      </c>
      <c r="H264" s="201"/>
      <c r="I264" s="201"/>
      <c r="J264" s="201"/>
      <c r="K264" s="201"/>
    </row>
    <row r="265" spans="1:11" s="200" customFormat="1" ht="39" thickBot="1">
      <c r="A265" s="205" t="s">
        <v>627</v>
      </c>
      <c r="B265" s="195" t="s">
        <v>626</v>
      </c>
      <c r="C265" s="195" t="s">
        <v>502</v>
      </c>
      <c r="D265" s="197">
        <v>492.37400000000002</v>
      </c>
      <c r="E265" s="197"/>
      <c r="F265" s="196">
        <f>6.3381+12.5989</f>
        <v>18.937000000000001</v>
      </c>
      <c r="G265" s="108" t="s">
        <v>474</v>
      </c>
      <c r="H265" s="201"/>
      <c r="I265" s="201"/>
      <c r="J265" s="201"/>
      <c r="K265" s="201"/>
    </row>
    <row r="266" spans="1:11" s="200" customFormat="1" ht="39" thickBot="1">
      <c r="A266" s="205" t="s">
        <v>625</v>
      </c>
      <c r="B266" s="195" t="s">
        <v>624</v>
      </c>
      <c r="C266" s="195" t="s">
        <v>502</v>
      </c>
      <c r="D266" s="197">
        <v>297.61599999999999</v>
      </c>
      <c r="E266" s="197"/>
      <c r="F266" s="196">
        <f>11.755+81.84918+157.32548+3.87664+2.01718</f>
        <v>256.82348000000002</v>
      </c>
      <c r="G266" s="108" t="s">
        <v>536</v>
      </c>
      <c r="H266" s="201"/>
      <c r="I266" s="201"/>
      <c r="J266" s="201"/>
      <c r="K266" s="201"/>
    </row>
    <row r="267" spans="1:11" s="200" customFormat="1" ht="39" thickBot="1">
      <c r="A267" s="205" t="s">
        <v>623</v>
      </c>
      <c r="B267" s="195" t="s">
        <v>622</v>
      </c>
      <c r="C267" s="195" t="s">
        <v>502</v>
      </c>
      <c r="D267" s="197">
        <v>153.84100000000001</v>
      </c>
      <c r="E267" s="197"/>
      <c r="F267" s="196">
        <f>6.078+42.31854+65.09765+1.75394</f>
        <v>115.24813</v>
      </c>
      <c r="G267" s="108" t="s">
        <v>536</v>
      </c>
      <c r="H267" s="201"/>
      <c r="I267" s="201"/>
      <c r="J267" s="201"/>
      <c r="K267" s="201"/>
    </row>
    <row r="268" spans="1:11" s="200" customFormat="1" ht="39" thickBot="1">
      <c r="A268" s="205" t="s">
        <v>621</v>
      </c>
      <c r="B268" s="195" t="s">
        <v>620</v>
      </c>
      <c r="C268" s="195" t="s">
        <v>502</v>
      </c>
      <c r="D268" s="197">
        <v>201.71899999999999</v>
      </c>
      <c r="E268" s="197"/>
      <c r="F268" s="196">
        <f>7.952+55.50468+64.95947+1.9646+46.24452</f>
        <v>176.62526999999997</v>
      </c>
      <c r="G268" s="108" t="s">
        <v>519</v>
      </c>
      <c r="H268" s="201"/>
      <c r="I268" s="201"/>
      <c r="J268" s="201"/>
      <c r="K268" s="201"/>
    </row>
    <row r="269" spans="1:11" s="200" customFormat="1" ht="39" thickBot="1">
      <c r="A269" s="205" t="s">
        <v>612</v>
      </c>
      <c r="B269" s="195" t="s">
        <v>619</v>
      </c>
      <c r="C269" s="195" t="s">
        <v>502</v>
      </c>
      <c r="D269" s="197">
        <v>216.32</v>
      </c>
      <c r="E269" s="197"/>
      <c r="F269" s="196">
        <f>2.5581+5.9689</f>
        <v>8.5269999999999992</v>
      </c>
      <c r="G269" s="108" t="s">
        <v>474</v>
      </c>
      <c r="H269" s="201"/>
      <c r="I269" s="201"/>
      <c r="J269" s="201"/>
      <c r="K269" s="201"/>
    </row>
    <row r="270" spans="1:11" s="200" customFormat="1" ht="51.75" thickBot="1">
      <c r="A270" s="205" t="s">
        <v>618</v>
      </c>
      <c r="B270" s="195" t="s">
        <v>617</v>
      </c>
      <c r="C270" s="195" t="s">
        <v>502</v>
      </c>
      <c r="D270" s="197">
        <v>575.48299999999995</v>
      </c>
      <c r="E270" s="197"/>
      <c r="F270" s="196">
        <f>7.6806+17.9214+146.87076</f>
        <v>172.47275999999999</v>
      </c>
      <c r="G270" s="108" t="s">
        <v>494</v>
      </c>
      <c r="H270" s="201"/>
      <c r="I270" s="201"/>
      <c r="J270" s="201"/>
      <c r="K270" s="201"/>
    </row>
    <row r="271" spans="1:11" s="200" customFormat="1" ht="39" thickBot="1">
      <c r="A271" s="205" t="s">
        <v>616</v>
      </c>
      <c r="B271" s="195" t="s">
        <v>615</v>
      </c>
      <c r="C271" s="195" t="s">
        <v>502</v>
      </c>
      <c r="D271" s="197">
        <v>743.13</v>
      </c>
      <c r="E271" s="197"/>
      <c r="F271" s="196">
        <f>9.48318+18.28882</f>
        <v>27.772000000000002</v>
      </c>
      <c r="G271" s="108" t="s">
        <v>474</v>
      </c>
      <c r="H271" s="201"/>
      <c r="I271" s="201"/>
      <c r="J271" s="201"/>
      <c r="K271" s="201"/>
    </row>
    <row r="272" spans="1:11" s="200" customFormat="1" ht="39" thickBot="1">
      <c r="A272" s="205" t="s">
        <v>614</v>
      </c>
      <c r="B272" s="195" t="s">
        <v>613</v>
      </c>
      <c r="C272" s="195" t="s">
        <v>502</v>
      </c>
      <c r="D272" s="197">
        <v>491.77100000000002</v>
      </c>
      <c r="E272" s="197"/>
      <c r="F272" s="196">
        <f>6.33198+12.63002</f>
        <v>18.962</v>
      </c>
      <c r="G272" s="108" t="s">
        <v>474</v>
      </c>
      <c r="H272" s="201"/>
      <c r="I272" s="201"/>
      <c r="J272" s="201"/>
      <c r="K272" s="201"/>
    </row>
    <row r="273" spans="1:11" s="200" customFormat="1" ht="39" thickBot="1">
      <c r="A273" s="205" t="s">
        <v>612</v>
      </c>
      <c r="B273" s="210" t="s">
        <v>611</v>
      </c>
      <c r="C273" s="195" t="s">
        <v>502</v>
      </c>
      <c r="D273" s="197">
        <v>485.10700000000003</v>
      </c>
      <c r="E273" s="209"/>
      <c r="F273" s="207">
        <f>6.24774+12.58326</f>
        <v>18.831</v>
      </c>
      <c r="G273" s="204" t="s">
        <v>474</v>
      </c>
      <c r="H273" s="201"/>
      <c r="I273" s="201"/>
      <c r="J273" s="201"/>
      <c r="K273" s="201"/>
    </row>
    <row r="274" spans="1:11" s="200" customFormat="1" ht="39" thickBot="1">
      <c r="A274" s="205" t="s">
        <v>610</v>
      </c>
      <c r="B274" s="195" t="s">
        <v>609</v>
      </c>
      <c r="C274" s="195" t="s">
        <v>502</v>
      </c>
      <c r="D274" s="197">
        <v>492.70800000000003</v>
      </c>
      <c r="E274" s="197"/>
      <c r="F274" s="196">
        <f>6.34236+12.65064</f>
        <v>18.992999999999999</v>
      </c>
      <c r="G274" s="108" t="s">
        <v>474</v>
      </c>
      <c r="H274" s="201"/>
      <c r="I274" s="201"/>
      <c r="J274" s="201"/>
      <c r="K274" s="201"/>
    </row>
    <row r="275" spans="1:11" s="200" customFormat="1" ht="39" thickBot="1">
      <c r="A275" s="205" t="s">
        <v>608</v>
      </c>
      <c r="B275" s="195" t="s">
        <v>607</v>
      </c>
      <c r="C275" s="195" t="s">
        <v>502</v>
      </c>
      <c r="D275" s="197">
        <v>493.04899999999998</v>
      </c>
      <c r="E275" s="197"/>
      <c r="F275" s="196">
        <f>6.34662+12.65938</f>
        <v>19.006</v>
      </c>
      <c r="G275" s="108" t="s">
        <v>474</v>
      </c>
      <c r="H275" s="201"/>
      <c r="I275" s="201"/>
      <c r="J275" s="201"/>
      <c r="K275" s="201"/>
    </row>
    <row r="276" spans="1:11" s="200" customFormat="1" ht="39" thickBot="1">
      <c r="A276" s="205" t="s">
        <v>606</v>
      </c>
      <c r="B276" s="195" t="s">
        <v>605</v>
      </c>
      <c r="C276" s="195" t="s">
        <v>502</v>
      </c>
      <c r="D276" s="197">
        <v>673.255</v>
      </c>
      <c r="E276" s="197"/>
      <c r="F276" s="196">
        <f>8.66172+16.96028</f>
        <v>25.622</v>
      </c>
      <c r="G276" s="108" t="s">
        <v>474</v>
      </c>
      <c r="H276" s="201"/>
      <c r="I276" s="201"/>
      <c r="J276" s="201"/>
      <c r="K276" s="201"/>
    </row>
    <row r="277" spans="1:11" s="200" customFormat="1" ht="39" thickBot="1">
      <c r="A277" s="205" t="s">
        <v>604</v>
      </c>
      <c r="B277" s="195" t="s">
        <v>603</v>
      </c>
      <c r="C277" s="195" t="s">
        <v>502</v>
      </c>
      <c r="D277" s="197">
        <v>446.38200000000001</v>
      </c>
      <c r="E277" s="197"/>
      <c r="F277" s="196">
        <f>5.74878+11.99022</f>
        <v>17.739000000000001</v>
      </c>
      <c r="G277" s="108" t="s">
        <v>474</v>
      </c>
      <c r="H277" s="201"/>
      <c r="I277" s="201"/>
      <c r="J277" s="201"/>
      <c r="K277" s="201"/>
    </row>
    <row r="278" spans="1:11" s="200" customFormat="1" ht="39" thickBot="1">
      <c r="A278" s="205" t="s">
        <v>602</v>
      </c>
      <c r="B278" s="195" t="s">
        <v>601</v>
      </c>
      <c r="C278" s="195" t="s">
        <v>502</v>
      </c>
      <c r="D278" s="197">
        <v>241.715</v>
      </c>
      <c r="E278" s="197"/>
      <c r="F278" s="196">
        <f>9.546+66.48846+128.84531+3.17175</f>
        <v>208.05152000000001</v>
      </c>
      <c r="G278" s="108" t="s">
        <v>536</v>
      </c>
      <c r="H278" s="201"/>
      <c r="I278" s="201"/>
      <c r="J278" s="201"/>
      <c r="K278" s="201"/>
    </row>
    <row r="279" spans="1:11" s="200" customFormat="1" ht="39" thickBot="1">
      <c r="A279" s="205" t="s">
        <v>600</v>
      </c>
      <c r="B279" s="195" t="s">
        <v>599</v>
      </c>
      <c r="C279" s="195" t="s">
        <v>502</v>
      </c>
      <c r="D279" s="197">
        <v>485.935</v>
      </c>
      <c r="E279" s="197"/>
      <c r="F279" s="196">
        <f>6.25806+12.60394</f>
        <v>18.862000000000002</v>
      </c>
      <c r="G279" s="108" t="s">
        <v>474</v>
      </c>
      <c r="H279" s="201"/>
      <c r="I279" s="201"/>
      <c r="J279" s="201"/>
      <c r="K279" s="201"/>
    </row>
    <row r="280" spans="1:11" s="200" customFormat="1" ht="48" customHeight="1" thickBot="1">
      <c r="A280" s="205" t="s">
        <v>598</v>
      </c>
      <c r="B280" s="195" t="s">
        <v>597</v>
      </c>
      <c r="C280" s="195" t="s">
        <v>502</v>
      </c>
      <c r="D280" s="197">
        <v>242.03800000000001</v>
      </c>
      <c r="E280" s="197"/>
      <c r="F280" s="196">
        <f>9.559+66.57786+128.33458+3.16526</f>
        <v>207.63669999999996</v>
      </c>
      <c r="G280" s="108" t="s">
        <v>536</v>
      </c>
      <c r="H280" s="201"/>
      <c r="I280" s="201"/>
      <c r="J280" s="201"/>
      <c r="K280" s="201"/>
    </row>
    <row r="281" spans="1:11" s="200" customFormat="1" ht="49.5" customHeight="1" thickBot="1">
      <c r="A281" s="205" t="s">
        <v>596</v>
      </c>
      <c r="B281" s="195" t="s">
        <v>595</v>
      </c>
      <c r="C281" s="195" t="s">
        <v>502</v>
      </c>
      <c r="D281" s="197">
        <v>314.87200000000001</v>
      </c>
      <c r="E281" s="197"/>
      <c r="F281" s="196">
        <f>4.36728+7.48372</f>
        <v>11.850999999999999</v>
      </c>
      <c r="G281" s="108" t="s">
        <v>474</v>
      </c>
      <c r="H281" s="201"/>
      <c r="I281" s="201"/>
      <c r="J281" s="201"/>
      <c r="K281" s="201"/>
    </row>
    <row r="282" spans="1:11" s="200" customFormat="1" ht="48.75" customHeight="1" thickBot="1">
      <c r="A282" s="205" t="s">
        <v>594</v>
      </c>
      <c r="B282" s="214" t="s">
        <v>593</v>
      </c>
      <c r="C282" s="195" t="s">
        <v>502</v>
      </c>
      <c r="D282" s="197">
        <v>492.45600000000002</v>
      </c>
      <c r="E282" s="197"/>
      <c r="F282" s="196">
        <f>6.339+12.644</f>
        <v>18.983000000000001</v>
      </c>
      <c r="G282" s="108" t="s">
        <v>474</v>
      </c>
      <c r="H282" s="201"/>
      <c r="I282" s="201"/>
      <c r="J282" s="201"/>
      <c r="K282" s="201"/>
    </row>
    <row r="283" spans="1:11" s="200" customFormat="1" ht="48" customHeight="1" thickBot="1">
      <c r="A283" s="205" t="s">
        <v>592</v>
      </c>
      <c r="B283" s="195" t="s">
        <v>591</v>
      </c>
      <c r="C283" s="195" t="s">
        <v>502</v>
      </c>
      <c r="D283" s="197">
        <v>431.75799999999998</v>
      </c>
      <c r="E283" s="197"/>
      <c r="F283" s="196">
        <f>5.2857+12.3333+109.7223</f>
        <v>127.3413</v>
      </c>
      <c r="G283" s="108" t="s">
        <v>494</v>
      </c>
      <c r="H283" s="201"/>
      <c r="I283" s="201"/>
      <c r="J283" s="201"/>
      <c r="K283" s="201"/>
    </row>
    <row r="284" spans="1:11" s="200" customFormat="1" ht="42.75" customHeight="1" thickBot="1">
      <c r="A284" s="205" t="s">
        <v>590</v>
      </c>
      <c r="B284" s="195" t="s">
        <v>589</v>
      </c>
      <c r="C284" s="195" t="s">
        <v>502</v>
      </c>
      <c r="D284" s="197">
        <v>449.41300000000001</v>
      </c>
      <c r="E284" s="197"/>
      <c r="F284" s="196">
        <f>5.78868+13.50692+113.22828</f>
        <v>132.52387999999999</v>
      </c>
      <c r="G284" s="108" t="s">
        <v>494</v>
      </c>
      <c r="H284" s="201"/>
      <c r="I284" s="201"/>
      <c r="J284" s="201"/>
      <c r="K284" s="201"/>
    </row>
    <row r="285" spans="1:11" s="200" customFormat="1" ht="46.5" customHeight="1" thickBot="1">
      <c r="A285" s="205" t="s">
        <v>588</v>
      </c>
      <c r="B285" s="195" t="s">
        <v>587</v>
      </c>
      <c r="C285" s="195" t="s">
        <v>502</v>
      </c>
      <c r="D285" s="197">
        <v>216.55799999999999</v>
      </c>
      <c r="E285" s="197"/>
      <c r="F285" s="196">
        <f>8.483+59.14938+81.22128+2.29214</f>
        <v>151.14579999999998</v>
      </c>
      <c r="G285" s="108" t="s">
        <v>536</v>
      </c>
      <c r="H285" s="201"/>
      <c r="I285" s="201"/>
      <c r="J285" s="201"/>
      <c r="K285" s="201"/>
    </row>
    <row r="286" spans="1:11" s="200" customFormat="1" ht="45.75" customHeight="1" thickBot="1">
      <c r="A286" s="205" t="s">
        <v>586</v>
      </c>
      <c r="B286" s="195" t="s">
        <v>585</v>
      </c>
      <c r="C286" s="195" t="s">
        <v>502</v>
      </c>
      <c r="D286" s="197">
        <v>257.42899999999997</v>
      </c>
      <c r="E286" s="197"/>
      <c r="F286" s="196">
        <f>10.169+70.8207+146.64106+3.52938</f>
        <v>231.16014000000001</v>
      </c>
      <c r="G286" s="108" t="s">
        <v>519</v>
      </c>
      <c r="H286" s="201"/>
      <c r="I286" s="201"/>
      <c r="J286" s="201"/>
      <c r="K286" s="201"/>
    </row>
    <row r="287" spans="1:11" s="200" customFormat="1" ht="45.75" customHeight="1" thickBot="1">
      <c r="A287" s="205" t="s">
        <v>584</v>
      </c>
      <c r="B287" s="195" t="s">
        <v>583</v>
      </c>
      <c r="C287" s="195" t="s">
        <v>502</v>
      </c>
      <c r="D287" s="197">
        <v>297.54599999999999</v>
      </c>
      <c r="E287" s="197"/>
      <c r="F287" s="196">
        <f>11.724+81.85836+85.75124+2.73508</f>
        <v>182.06868</v>
      </c>
      <c r="G287" s="108" t="s">
        <v>536</v>
      </c>
      <c r="H287" s="201"/>
      <c r="I287" s="201"/>
      <c r="J287" s="201"/>
      <c r="K287" s="201"/>
    </row>
    <row r="288" spans="1:11" s="200" customFormat="1" ht="44.25" customHeight="1" thickBot="1">
      <c r="A288" s="205" t="s">
        <v>582</v>
      </c>
      <c r="B288" s="195" t="s">
        <v>581</v>
      </c>
      <c r="C288" s="195" t="s">
        <v>502</v>
      </c>
      <c r="D288" s="197">
        <v>140.345</v>
      </c>
      <c r="E288" s="197"/>
      <c r="F288" s="196">
        <f>5.535+38.61648+45.75888+1.3763</f>
        <v>91.286659999999998</v>
      </c>
      <c r="G288" s="108" t="s">
        <v>536</v>
      </c>
      <c r="H288" s="201"/>
      <c r="I288" s="201"/>
      <c r="J288" s="201"/>
      <c r="K288" s="201"/>
    </row>
    <row r="289" spans="1:11" s="200" customFormat="1" ht="48.75" customHeight="1" thickBot="1">
      <c r="A289" s="205" t="s">
        <v>580</v>
      </c>
      <c r="B289" s="195" t="s">
        <v>579</v>
      </c>
      <c r="C289" s="195" t="s">
        <v>502</v>
      </c>
      <c r="D289" s="197">
        <v>264.35000000000002</v>
      </c>
      <c r="E289" s="197"/>
      <c r="F289" s="196">
        <f>10.424+72.74628+59.13112+2.15105</f>
        <v>144.45245</v>
      </c>
      <c r="G289" s="108" t="s">
        <v>536</v>
      </c>
      <c r="H289" s="201"/>
      <c r="I289" s="201"/>
      <c r="J289" s="201"/>
      <c r="K289" s="201"/>
    </row>
    <row r="290" spans="1:11" s="200" customFormat="1" ht="48" customHeight="1" thickBot="1">
      <c r="A290" s="205" t="s">
        <v>578</v>
      </c>
      <c r="B290" s="195" t="s">
        <v>577</v>
      </c>
      <c r="C290" s="195" t="s">
        <v>502</v>
      </c>
      <c r="D290" s="197">
        <v>242.38399999999999</v>
      </c>
      <c r="E290" s="197"/>
      <c r="F290" s="196">
        <v>175.01599999999999</v>
      </c>
      <c r="G290" s="108" t="s">
        <v>536</v>
      </c>
      <c r="H290" s="201"/>
      <c r="I290" s="201"/>
      <c r="J290" s="201"/>
      <c r="K290" s="201"/>
    </row>
    <row r="291" spans="1:11" s="200" customFormat="1" ht="42.75" customHeight="1" thickBot="1">
      <c r="A291" s="205" t="s">
        <v>576</v>
      </c>
      <c r="B291" s="195" t="s">
        <v>575</v>
      </c>
      <c r="C291" s="195" t="s">
        <v>502</v>
      </c>
      <c r="D291" s="197">
        <v>244.62100000000001</v>
      </c>
      <c r="E291" s="197"/>
      <c r="F291" s="196">
        <v>177.202</v>
      </c>
      <c r="G291" s="108" t="s">
        <v>536</v>
      </c>
      <c r="H291" s="201"/>
      <c r="I291" s="201"/>
      <c r="J291" s="201"/>
      <c r="K291" s="201"/>
    </row>
    <row r="292" spans="1:11" s="200" customFormat="1" ht="48.75" customHeight="1" thickBot="1">
      <c r="A292" s="205" t="s">
        <v>574</v>
      </c>
      <c r="B292" s="195" t="s">
        <v>573</v>
      </c>
      <c r="C292" s="195" t="s">
        <v>502</v>
      </c>
      <c r="D292" s="197">
        <v>288.53800000000001</v>
      </c>
      <c r="E292" s="197"/>
      <c r="F292" s="196">
        <f>11.395+79.38438+111.38342+3.11487</f>
        <v>205.27767</v>
      </c>
      <c r="G292" s="108" t="s">
        <v>536</v>
      </c>
      <c r="H292" s="206"/>
      <c r="I292" s="201"/>
      <c r="J292" s="201"/>
      <c r="K292" s="201"/>
    </row>
    <row r="293" spans="1:11" s="200" customFormat="1" ht="47.25" customHeight="1" thickBot="1">
      <c r="A293" s="205" t="s">
        <v>572</v>
      </c>
      <c r="B293" s="195" t="s">
        <v>571</v>
      </c>
      <c r="C293" s="195" t="s">
        <v>502</v>
      </c>
      <c r="D293" s="197">
        <v>192.56899999999999</v>
      </c>
      <c r="E293" s="213"/>
      <c r="F293" s="212">
        <f>7.597+52.98306+68.98414+1.99142+44.32751</f>
        <v>175.88312999999999</v>
      </c>
      <c r="G293" s="108" t="s">
        <v>519</v>
      </c>
      <c r="H293" s="207"/>
      <c r="I293" s="201"/>
      <c r="J293" s="201"/>
      <c r="K293" s="201"/>
    </row>
    <row r="294" spans="1:11" s="200" customFormat="1" ht="39" thickBot="1">
      <c r="A294" s="205" t="s">
        <v>570</v>
      </c>
      <c r="B294" s="195" t="s">
        <v>569</v>
      </c>
      <c r="C294" s="195" t="s">
        <v>502</v>
      </c>
      <c r="D294" s="197">
        <v>833.82799999999997</v>
      </c>
      <c r="E294" s="197"/>
      <c r="F294" s="196">
        <f>10.61064+22.35336</f>
        <v>32.963999999999999</v>
      </c>
      <c r="G294" s="108" t="s">
        <v>474</v>
      </c>
      <c r="H294" s="206"/>
      <c r="I294" s="201"/>
      <c r="J294" s="201"/>
      <c r="K294" s="201"/>
    </row>
    <row r="295" spans="1:11" s="200" customFormat="1" ht="39" thickBot="1">
      <c r="A295" s="205" t="s">
        <v>568</v>
      </c>
      <c r="B295" s="195" t="s">
        <v>567</v>
      </c>
      <c r="C295" s="195" t="s">
        <v>502</v>
      </c>
      <c r="D295" s="197">
        <v>137.76</v>
      </c>
      <c r="E295" s="197"/>
      <c r="F295" s="196">
        <f>5.432+37.90506+37.16676+1.22319+25.44733</f>
        <v>107.17434</v>
      </c>
      <c r="G295" s="108" t="s">
        <v>519</v>
      </c>
      <c r="H295" s="201"/>
      <c r="I295" s="201"/>
      <c r="J295" s="201"/>
      <c r="K295" s="201"/>
    </row>
    <row r="296" spans="1:11" s="200" customFormat="1" ht="39" thickBot="1">
      <c r="A296" s="205" t="s">
        <v>566</v>
      </c>
      <c r="B296" s="195" t="s">
        <v>565</v>
      </c>
      <c r="C296" s="195" t="s">
        <v>502</v>
      </c>
      <c r="D296" s="197">
        <v>296.57400000000001</v>
      </c>
      <c r="E296" s="197"/>
      <c r="F296" s="196">
        <f>11.509+80.46618+107.32358+3.0676+65.07341</f>
        <v>267.43977000000001</v>
      </c>
      <c r="G296" s="108" t="s">
        <v>519</v>
      </c>
      <c r="H296" s="201"/>
      <c r="I296" s="201"/>
      <c r="J296" s="201"/>
      <c r="K296" s="201"/>
    </row>
    <row r="297" spans="1:11" s="200" customFormat="1" ht="39" thickBot="1">
      <c r="A297" s="205" t="s">
        <v>564</v>
      </c>
      <c r="B297" s="195" t="s">
        <v>563</v>
      </c>
      <c r="C297" s="195" t="s">
        <v>502</v>
      </c>
      <c r="D297" s="197">
        <v>758.07500000000005</v>
      </c>
      <c r="E297" s="197"/>
      <c r="F297" s="196">
        <f>9.70002+18.69898</f>
        <v>28.399000000000001</v>
      </c>
      <c r="G297" s="108" t="s">
        <v>474</v>
      </c>
      <c r="H297" s="201"/>
      <c r="I297" s="201"/>
      <c r="J297" s="201"/>
      <c r="K297" s="201"/>
    </row>
    <row r="298" spans="1:11" s="200" customFormat="1" ht="39" thickBot="1">
      <c r="A298" s="205" t="s">
        <v>562</v>
      </c>
      <c r="B298" s="195" t="s">
        <v>561</v>
      </c>
      <c r="C298" s="195" t="s">
        <v>502</v>
      </c>
      <c r="D298" s="197">
        <v>292.49599999999998</v>
      </c>
      <c r="E298" s="197"/>
      <c r="F298" s="196">
        <f>11.543+80.46366+103.75219+3.00906+65.07341</f>
        <v>263.84132</v>
      </c>
      <c r="G298" s="108" t="s">
        <v>519</v>
      </c>
      <c r="H298" s="201"/>
      <c r="I298" s="201"/>
      <c r="J298" s="201"/>
      <c r="K298" s="201"/>
    </row>
    <row r="299" spans="1:11" s="200" customFormat="1" ht="39" thickBot="1">
      <c r="A299" s="205" t="s">
        <v>560</v>
      </c>
      <c r="B299" s="195" t="s">
        <v>559</v>
      </c>
      <c r="C299" s="195" t="s">
        <v>502</v>
      </c>
      <c r="D299" s="197">
        <v>446.56700000000001</v>
      </c>
      <c r="E299" s="197"/>
      <c r="F299" s="196">
        <f>5.96142+11.71358</f>
        <v>17.675000000000001</v>
      </c>
      <c r="G299" s="108" t="s">
        <v>474</v>
      </c>
      <c r="H299" s="201"/>
      <c r="I299" s="201"/>
      <c r="J299" s="201"/>
      <c r="K299" s="201"/>
    </row>
    <row r="300" spans="1:11" s="200" customFormat="1" ht="51.75" thickBot="1">
      <c r="A300" s="205" t="s">
        <v>558</v>
      </c>
      <c r="B300" s="195" t="s">
        <v>557</v>
      </c>
      <c r="C300" s="195" t="s">
        <v>502</v>
      </c>
      <c r="D300" s="197">
        <v>476.21300000000002</v>
      </c>
      <c r="E300" s="197"/>
      <c r="F300" s="196">
        <f>6.32958+14.76902+119.28012</f>
        <v>140.37871999999999</v>
      </c>
      <c r="G300" s="108" t="s">
        <v>494</v>
      </c>
      <c r="H300" s="201"/>
      <c r="I300" s="201"/>
      <c r="J300" s="201"/>
      <c r="K300" s="201"/>
    </row>
    <row r="301" spans="1:11" s="200" customFormat="1" ht="51.75" thickBot="1">
      <c r="A301" s="205" t="s">
        <v>556</v>
      </c>
      <c r="B301" s="195" t="s">
        <v>555</v>
      </c>
      <c r="C301" s="195" t="s">
        <v>502</v>
      </c>
      <c r="D301" s="197">
        <v>475.411</v>
      </c>
      <c r="E301" s="197"/>
      <c r="F301" s="196">
        <f>6.31992+14.74648+119.43204</f>
        <v>140.49844000000002</v>
      </c>
      <c r="G301" s="108" t="s">
        <v>494</v>
      </c>
      <c r="H301" s="201"/>
      <c r="I301" s="201"/>
      <c r="J301" s="201"/>
      <c r="K301" s="201"/>
    </row>
    <row r="302" spans="1:11" s="200" customFormat="1" ht="51.75" thickBot="1">
      <c r="A302" s="205" t="s">
        <v>554</v>
      </c>
      <c r="B302" s="195" t="s">
        <v>553</v>
      </c>
      <c r="C302" s="195" t="s">
        <v>502</v>
      </c>
      <c r="D302" s="197">
        <v>482.83600000000001</v>
      </c>
      <c r="E302" s="197"/>
      <c r="F302" s="196">
        <f>6.4113+13.90998+121.43796</f>
        <v>141.75924000000001</v>
      </c>
      <c r="G302" s="108" t="s">
        <v>494</v>
      </c>
      <c r="H302" s="201"/>
      <c r="I302" s="201"/>
      <c r="J302" s="201"/>
      <c r="K302" s="201"/>
    </row>
    <row r="303" spans="1:11" s="200" customFormat="1" ht="39" thickBot="1">
      <c r="A303" s="205" t="s">
        <v>552</v>
      </c>
      <c r="B303" s="195" t="s">
        <v>551</v>
      </c>
      <c r="C303" s="195" t="s">
        <v>502</v>
      </c>
      <c r="D303" s="197">
        <v>240.578</v>
      </c>
      <c r="E303" s="197"/>
      <c r="F303" s="196">
        <f>9.5+66.18708+99.2765+2.70131+40.07891</f>
        <v>217.74379999999999</v>
      </c>
      <c r="G303" s="108" t="s">
        <v>519</v>
      </c>
      <c r="H303" s="201"/>
      <c r="I303" s="201"/>
      <c r="J303" s="201"/>
      <c r="K303" s="201"/>
    </row>
    <row r="304" spans="1:11" s="200" customFormat="1" ht="39" thickBot="1">
      <c r="A304" s="205" t="s">
        <v>550</v>
      </c>
      <c r="B304" s="195" t="s">
        <v>549</v>
      </c>
      <c r="C304" s="195" t="s">
        <v>502</v>
      </c>
      <c r="D304" s="197">
        <v>241.04400000000001</v>
      </c>
      <c r="E304" s="197"/>
      <c r="F304" s="196">
        <f>9.518+66.31536+98.08319+2.68358+40.07891</f>
        <v>216.67904000000001</v>
      </c>
      <c r="G304" s="108" t="s">
        <v>519</v>
      </c>
      <c r="H304" s="201"/>
      <c r="I304" s="201"/>
      <c r="J304" s="201"/>
      <c r="K304" s="201"/>
    </row>
    <row r="305" spans="1:11" s="200" customFormat="1" ht="39" thickBot="1">
      <c r="A305" s="205" t="s">
        <v>548</v>
      </c>
      <c r="B305" s="211" t="s">
        <v>547</v>
      </c>
      <c r="C305" s="195" t="s">
        <v>502</v>
      </c>
      <c r="D305" s="197">
        <v>240.274</v>
      </c>
      <c r="E305" s="197"/>
      <c r="F305" s="196">
        <f>9.486+66.09732+98.30123+2.68358+39.07867</f>
        <v>215.64679999999998</v>
      </c>
      <c r="G305" s="108" t="s">
        <v>519</v>
      </c>
      <c r="H305" s="201"/>
      <c r="I305" s="201"/>
      <c r="J305" s="201"/>
      <c r="K305" s="201"/>
    </row>
    <row r="306" spans="1:11" s="200" customFormat="1" ht="39" thickBot="1">
      <c r="A306" s="205" t="s">
        <v>546</v>
      </c>
      <c r="B306" s="195" t="s">
        <v>545</v>
      </c>
      <c r="C306" s="195" t="s">
        <v>502</v>
      </c>
      <c r="D306" s="197">
        <v>479.2</v>
      </c>
      <c r="E306" s="197"/>
      <c r="F306" s="196">
        <f>6.1665+12.4715</f>
        <v>18.638000000000002</v>
      </c>
      <c r="G306" s="108" t="s">
        <v>474</v>
      </c>
      <c r="H306" s="201"/>
      <c r="I306" s="201"/>
      <c r="J306" s="201"/>
      <c r="K306" s="201"/>
    </row>
    <row r="307" spans="1:11" s="200" customFormat="1" ht="39" thickBot="1">
      <c r="A307" s="205" t="s">
        <v>544</v>
      </c>
      <c r="B307" s="195" t="s">
        <v>543</v>
      </c>
      <c r="C307" s="195" t="s">
        <v>502</v>
      </c>
      <c r="D307" s="197">
        <v>246.298</v>
      </c>
      <c r="E307" s="197"/>
      <c r="F307" s="196">
        <f>77.48868+138.71322+11.65724+3.53724</f>
        <v>231.39638000000002</v>
      </c>
      <c r="G307" s="108" t="s">
        <v>542</v>
      </c>
      <c r="H307" s="201"/>
      <c r="I307" s="201"/>
      <c r="J307" s="201"/>
      <c r="K307" s="201"/>
    </row>
    <row r="308" spans="1:11" s="200" customFormat="1" ht="39" thickBot="1">
      <c r="A308" s="205" t="s">
        <v>541</v>
      </c>
      <c r="B308" s="195" t="s">
        <v>540</v>
      </c>
      <c r="C308" s="195" t="s">
        <v>502</v>
      </c>
      <c r="D308" s="197">
        <v>700.65599999999995</v>
      </c>
      <c r="E308" s="197"/>
      <c r="F308" s="196">
        <f>9.03438+17.80062</f>
        <v>26.835000000000001</v>
      </c>
      <c r="G308" s="108" t="s">
        <v>539</v>
      </c>
      <c r="H308" s="201"/>
      <c r="I308" s="201"/>
      <c r="J308" s="201"/>
      <c r="K308" s="201"/>
    </row>
    <row r="309" spans="1:11" s="200" customFormat="1" ht="39" thickBot="1">
      <c r="A309" s="205" t="s">
        <v>538</v>
      </c>
      <c r="B309" s="195" t="s">
        <v>537</v>
      </c>
      <c r="C309" s="195" t="s">
        <v>502</v>
      </c>
      <c r="D309" s="197">
        <v>298.83999999999997</v>
      </c>
      <c r="E309" s="197"/>
      <c r="F309" s="196">
        <f>11.8+82.20072+115.96666+3.25119</f>
        <v>213.21857</v>
      </c>
      <c r="G309" s="108" t="s">
        <v>536</v>
      </c>
      <c r="H309" s="201"/>
      <c r="I309" s="201"/>
      <c r="J309" s="201"/>
      <c r="K309" s="201"/>
    </row>
    <row r="310" spans="1:11" s="200" customFormat="1" ht="39" thickBot="1">
      <c r="A310" s="205" t="s">
        <v>535</v>
      </c>
      <c r="B310" s="210" t="s">
        <v>534</v>
      </c>
      <c r="C310" s="195" t="s">
        <v>502</v>
      </c>
      <c r="D310" s="197">
        <v>496.202</v>
      </c>
      <c r="E310" s="209"/>
      <c r="F310" s="207">
        <f>6.57594+12.57206</f>
        <v>19.148</v>
      </c>
      <c r="G310" s="204" t="s">
        <v>474</v>
      </c>
      <c r="H310" s="201"/>
      <c r="I310" s="201"/>
      <c r="J310" s="201"/>
      <c r="K310" s="201"/>
    </row>
    <row r="311" spans="1:11" s="200" customFormat="1" ht="39" thickBot="1">
      <c r="A311" s="205" t="s">
        <v>533</v>
      </c>
      <c r="B311" s="195" t="s">
        <v>532</v>
      </c>
      <c r="C311" s="195" t="s">
        <v>502</v>
      </c>
      <c r="D311" s="197">
        <v>808.80799999999999</v>
      </c>
      <c r="E311" s="197"/>
      <c r="F311" s="196">
        <f>10.26558+19.70442</f>
        <v>29.97</v>
      </c>
      <c r="G311" s="204" t="s">
        <v>474</v>
      </c>
      <c r="H311" s="201"/>
      <c r="I311" s="201"/>
      <c r="J311" s="201"/>
      <c r="K311" s="201"/>
    </row>
    <row r="312" spans="1:11" s="200" customFormat="1" ht="51.75" customHeight="1" thickBot="1">
      <c r="A312" s="205" t="s">
        <v>531</v>
      </c>
      <c r="B312" s="195" t="s">
        <v>530</v>
      </c>
      <c r="C312" s="195" t="s">
        <v>502</v>
      </c>
      <c r="D312" s="197">
        <v>739.45600000000002</v>
      </c>
      <c r="E312" s="197"/>
      <c r="F312" s="196">
        <f>9.47676+18.07324</f>
        <v>27.549999999999997</v>
      </c>
      <c r="G312" s="204" t="s">
        <v>474</v>
      </c>
      <c r="H312" s="206"/>
      <c r="I312" s="201"/>
      <c r="J312" s="201"/>
      <c r="K312" s="201"/>
    </row>
    <row r="313" spans="1:11" s="200" customFormat="1" ht="47.25" customHeight="1" thickBot="1">
      <c r="A313" s="205" t="s">
        <v>529</v>
      </c>
      <c r="B313" s="195" t="s">
        <v>528</v>
      </c>
      <c r="C313" s="195" t="s">
        <v>502</v>
      </c>
      <c r="D313" s="197">
        <v>246.34</v>
      </c>
      <c r="E313" s="208"/>
      <c r="F313" s="208">
        <f>9.734+67.76832+146.84045+3.47966</f>
        <v>227.82243</v>
      </c>
      <c r="G313" s="108" t="s">
        <v>519</v>
      </c>
      <c r="H313" s="207"/>
      <c r="I313" s="201"/>
      <c r="J313" s="201"/>
      <c r="K313" s="201"/>
    </row>
    <row r="314" spans="1:11" s="200" customFormat="1" ht="42.75" customHeight="1" thickBot="1">
      <c r="A314" s="205" t="s">
        <v>527</v>
      </c>
      <c r="B314" s="195" t="s">
        <v>526</v>
      </c>
      <c r="C314" s="195" t="s">
        <v>502</v>
      </c>
      <c r="D314" s="197">
        <v>247.315</v>
      </c>
      <c r="E314" s="197"/>
      <c r="F314" s="196">
        <f>9.771+68.0373+147.0955+3.48762</f>
        <v>228.39141999999998</v>
      </c>
      <c r="G314" s="108" t="s">
        <v>519</v>
      </c>
      <c r="H314" s="206"/>
      <c r="I314" s="201"/>
      <c r="J314" s="201"/>
      <c r="K314" s="201"/>
    </row>
    <row r="315" spans="1:11" s="200" customFormat="1" ht="45" customHeight="1" thickBot="1">
      <c r="A315" s="205" t="s">
        <v>525</v>
      </c>
      <c r="B315" s="195" t="s">
        <v>524</v>
      </c>
      <c r="C315" s="195" t="s">
        <v>502</v>
      </c>
      <c r="D315" s="197">
        <v>298.64400000000001</v>
      </c>
      <c r="E315" s="197"/>
      <c r="F315" s="196">
        <f>3.5418+8.2642</f>
        <v>11.806000000000001</v>
      </c>
      <c r="G315" s="204" t="s">
        <v>474</v>
      </c>
      <c r="H315" s="201"/>
      <c r="I315" s="201"/>
      <c r="J315" s="201"/>
      <c r="K315" s="201"/>
    </row>
    <row r="316" spans="1:11" s="200" customFormat="1" ht="51" customHeight="1" thickBot="1">
      <c r="A316" s="205" t="s">
        <v>523</v>
      </c>
      <c r="B316" s="195" t="s">
        <v>522</v>
      </c>
      <c r="C316" s="195" t="s">
        <v>502</v>
      </c>
      <c r="D316" s="197">
        <f>1087.939+620.484</f>
        <v>1708.4230000000002</v>
      </c>
      <c r="E316" s="197"/>
      <c r="F316" s="196">
        <f>20.2443+41.8007</f>
        <v>62.045000000000002</v>
      </c>
      <c r="G316" s="204" t="s">
        <v>474</v>
      </c>
      <c r="H316" s="201"/>
      <c r="I316" s="201"/>
      <c r="J316" s="201"/>
      <c r="K316" s="201"/>
    </row>
    <row r="317" spans="1:11" s="200" customFormat="1" ht="42.75" customHeight="1" thickBot="1">
      <c r="A317" s="205" t="s">
        <v>521</v>
      </c>
      <c r="B317" s="195" t="s">
        <v>520</v>
      </c>
      <c r="C317" s="195" t="s">
        <v>502</v>
      </c>
      <c r="D317" s="197">
        <v>225.654</v>
      </c>
      <c r="E317" s="197"/>
      <c r="F317" s="196">
        <f>8.908+62.08308+136.66188+3.22432</f>
        <v>210.87728000000001</v>
      </c>
      <c r="G317" s="108" t="s">
        <v>519</v>
      </c>
      <c r="H317" s="201"/>
      <c r="I317" s="201"/>
      <c r="J317" s="201"/>
      <c r="K317" s="201"/>
    </row>
    <row r="318" spans="1:11" s="200" customFormat="1" ht="50.25" customHeight="1" thickBot="1">
      <c r="A318" s="205" t="s">
        <v>518</v>
      </c>
      <c r="B318" s="195" t="s">
        <v>517</v>
      </c>
      <c r="C318" s="195" t="s">
        <v>502</v>
      </c>
      <c r="D318" s="197">
        <v>333.29599999999999</v>
      </c>
      <c r="E318" s="197"/>
      <c r="F318" s="196">
        <f>4.29312+10.01728+83.79006</f>
        <v>98.100459999999998</v>
      </c>
      <c r="G318" s="108" t="s">
        <v>494</v>
      </c>
      <c r="H318" s="201"/>
      <c r="I318" s="201"/>
      <c r="J318" s="201"/>
      <c r="K318" s="201"/>
    </row>
    <row r="319" spans="1:11" s="200" customFormat="1" ht="50.25" customHeight="1" thickBot="1">
      <c r="A319" s="195" t="s">
        <v>516</v>
      </c>
      <c r="B319" s="195" t="s">
        <v>515</v>
      </c>
      <c r="C319" s="195" t="s">
        <v>502</v>
      </c>
      <c r="D319" s="197">
        <v>282.60000000000002</v>
      </c>
      <c r="E319" s="197"/>
      <c r="F319" s="196">
        <f>3.3972+7.9268</f>
        <v>11.324</v>
      </c>
      <c r="G319" s="204" t="s">
        <v>474</v>
      </c>
      <c r="H319" s="201"/>
      <c r="I319" s="201"/>
      <c r="J319" s="201"/>
      <c r="K319" s="201"/>
    </row>
    <row r="320" spans="1:11" s="200" customFormat="1" ht="50.25" customHeight="1" thickBot="1">
      <c r="A320" s="195" t="s">
        <v>514</v>
      </c>
      <c r="B320" s="195" t="s">
        <v>513</v>
      </c>
      <c r="C320" s="195" t="s">
        <v>502</v>
      </c>
      <c r="D320" s="197">
        <v>263.79599999999999</v>
      </c>
      <c r="E320" s="197"/>
      <c r="F320" s="196">
        <f>3.159+7.371</f>
        <v>10.530000000000001</v>
      </c>
      <c r="G320" s="204" t="s">
        <v>474</v>
      </c>
      <c r="H320" s="201"/>
      <c r="I320" s="201"/>
      <c r="J320" s="201"/>
      <c r="K320" s="201"/>
    </row>
    <row r="321" spans="1:11" s="200" customFormat="1" ht="50.25" customHeight="1" thickBot="1">
      <c r="A321" s="195" t="s">
        <v>512</v>
      </c>
      <c r="B321" s="195" t="s">
        <v>511</v>
      </c>
      <c r="C321" s="195" t="s">
        <v>502</v>
      </c>
      <c r="D321" s="197">
        <v>445.38600000000002</v>
      </c>
      <c r="E321" s="197"/>
      <c r="F321" s="196">
        <v>5.7111700000000001</v>
      </c>
      <c r="G321" s="204" t="s">
        <v>474</v>
      </c>
      <c r="H321" s="201"/>
      <c r="I321" s="201"/>
      <c r="J321" s="201"/>
      <c r="K321" s="201"/>
    </row>
    <row r="322" spans="1:11" s="200" customFormat="1" ht="50.25" customHeight="1" thickBot="1">
      <c r="A322" s="195" t="s">
        <v>510</v>
      </c>
      <c r="B322" s="195" t="s">
        <v>509</v>
      </c>
      <c r="C322" s="195" t="s">
        <v>502</v>
      </c>
      <c r="D322" s="197">
        <v>460.13</v>
      </c>
      <c r="E322" s="197"/>
      <c r="F322" s="196">
        <v>5.8329000000000004</v>
      </c>
      <c r="G322" s="204" t="s">
        <v>474</v>
      </c>
      <c r="H322" s="201"/>
      <c r="I322" s="201"/>
      <c r="J322" s="201"/>
      <c r="K322" s="201"/>
    </row>
    <row r="323" spans="1:11" s="200" customFormat="1" ht="50.25" customHeight="1" thickBot="1">
      <c r="A323" s="195" t="s">
        <v>508</v>
      </c>
      <c r="B323" s="195" t="s">
        <v>507</v>
      </c>
      <c r="C323" s="195" t="s">
        <v>502</v>
      </c>
      <c r="D323" s="197">
        <v>213.47399999999999</v>
      </c>
      <c r="E323" s="197"/>
      <c r="F323" s="196">
        <f>2.565+5.985</f>
        <v>8.5500000000000007</v>
      </c>
      <c r="G323" s="204" t="s">
        <v>474</v>
      </c>
      <c r="H323" s="201"/>
      <c r="I323" s="201"/>
      <c r="J323" s="201"/>
      <c r="K323" s="201"/>
    </row>
    <row r="324" spans="1:11" s="200" customFormat="1" ht="50.25" customHeight="1" thickBot="1">
      <c r="A324" s="195" t="s">
        <v>506</v>
      </c>
      <c r="B324" s="195" t="s">
        <v>505</v>
      </c>
      <c r="C324" s="195" t="s">
        <v>502</v>
      </c>
      <c r="D324" s="197">
        <v>212.476</v>
      </c>
      <c r="E324" s="197"/>
      <c r="F324" s="196">
        <f>2.5539+5.9591</f>
        <v>8.5129999999999999</v>
      </c>
      <c r="G324" s="204" t="s">
        <v>474</v>
      </c>
      <c r="H324" s="201"/>
      <c r="I324" s="201"/>
      <c r="J324" s="201"/>
      <c r="K324" s="201"/>
    </row>
    <row r="325" spans="1:11" s="200" customFormat="1" ht="50.25" customHeight="1" thickBot="1">
      <c r="A325" s="195" t="s">
        <v>504</v>
      </c>
      <c r="B325" s="195" t="s">
        <v>503</v>
      </c>
      <c r="C325" s="195" t="s">
        <v>502</v>
      </c>
      <c r="D325" s="197">
        <v>213.47399999999999</v>
      </c>
      <c r="E325" s="197"/>
      <c r="F325" s="196">
        <f>2.565+5.985</f>
        <v>8.5500000000000007</v>
      </c>
      <c r="G325" s="204" t="s">
        <v>474</v>
      </c>
      <c r="H325" s="201"/>
      <c r="I325" s="201"/>
      <c r="J325" s="201"/>
      <c r="K325" s="201"/>
    </row>
    <row r="326" spans="1:11" s="200" customFormat="1" ht="27.75" customHeight="1" thickBot="1">
      <c r="A326" s="203"/>
      <c r="B326" s="199" t="s">
        <v>495</v>
      </c>
      <c r="C326" s="199"/>
      <c r="D326" s="193">
        <f>SUM(D327:D329)</f>
        <v>1431.816</v>
      </c>
      <c r="E326" s="193"/>
      <c r="F326" s="192">
        <f>F329+F327+F328</f>
        <v>1090.5096700000001</v>
      </c>
      <c r="G326" s="198"/>
      <c r="H326" s="201"/>
      <c r="I326" s="201"/>
      <c r="J326" s="201"/>
      <c r="K326" s="201"/>
    </row>
    <row r="327" spans="1:11" s="200" customFormat="1" ht="35.25" customHeight="1" thickBot="1">
      <c r="A327" s="202" t="s">
        <v>501</v>
      </c>
      <c r="B327" s="195" t="s">
        <v>500</v>
      </c>
      <c r="C327" s="195" t="s">
        <v>495</v>
      </c>
      <c r="D327" s="197">
        <v>0</v>
      </c>
      <c r="E327" s="197"/>
      <c r="F327" s="196">
        <v>0</v>
      </c>
      <c r="G327" s="198"/>
      <c r="H327" s="201"/>
      <c r="I327" s="201"/>
      <c r="J327" s="201"/>
      <c r="K327" s="201"/>
    </row>
    <row r="328" spans="1:11" s="200" customFormat="1" ht="26.25" thickBot="1">
      <c r="A328" s="202" t="s">
        <v>499</v>
      </c>
      <c r="B328" s="195" t="s">
        <v>498</v>
      </c>
      <c r="C328" s="195" t="s">
        <v>495</v>
      </c>
      <c r="D328" s="197">
        <v>0</v>
      </c>
      <c r="E328" s="197"/>
      <c r="F328" s="196">
        <v>0</v>
      </c>
      <c r="G328" s="198"/>
      <c r="H328" s="201"/>
      <c r="I328" s="201"/>
      <c r="J328" s="201"/>
      <c r="K328" s="201"/>
    </row>
    <row r="329" spans="1:11" s="200" customFormat="1" ht="51.75" thickBot="1">
      <c r="A329" s="202" t="s">
        <v>497</v>
      </c>
      <c r="B329" s="195" t="s">
        <v>496</v>
      </c>
      <c r="C329" s="195" t="s">
        <v>495</v>
      </c>
      <c r="D329" s="197">
        <v>1431.816</v>
      </c>
      <c r="E329" s="197"/>
      <c r="F329" s="196">
        <f>13.98768+32.63792+406.79376+637.09031</f>
        <v>1090.5096700000001</v>
      </c>
      <c r="G329" s="108" t="s">
        <v>494</v>
      </c>
      <c r="H329" s="201"/>
      <c r="I329" s="201"/>
      <c r="J329" s="201"/>
      <c r="K329" s="201"/>
    </row>
    <row r="330" spans="1:11" s="200" customFormat="1" ht="39" thickBot="1">
      <c r="A330" s="203"/>
      <c r="B330" s="199" t="s">
        <v>493</v>
      </c>
      <c r="C330" s="199"/>
      <c r="D330" s="193">
        <v>296.36700000000002</v>
      </c>
      <c r="E330" s="193"/>
      <c r="F330" s="192">
        <f>F332+F331</f>
        <v>291.34739999999999</v>
      </c>
      <c r="G330" s="198"/>
      <c r="H330" s="201"/>
      <c r="I330" s="201"/>
      <c r="J330" s="201"/>
      <c r="K330" s="201"/>
    </row>
    <row r="331" spans="1:11" s="200" customFormat="1" ht="26.25" thickBot="1">
      <c r="A331" s="202" t="s">
        <v>490</v>
      </c>
      <c r="B331" s="195" t="s">
        <v>492</v>
      </c>
      <c r="C331" s="195" t="s">
        <v>488</v>
      </c>
      <c r="D331" s="197">
        <v>101.367</v>
      </c>
      <c r="E331" s="197"/>
      <c r="F331" s="196">
        <f>30.4101+70.9569</f>
        <v>101.367</v>
      </c>
      <c r="G331" s="108" t="s">
        <v>491</v>
      </c>
      <c r="H331" s="201"/>
      <c r="I331" s="201"/>
      <c r="J331" s="201"/>
      <c r="K331" s="201"/>
    </row>
    <row r="332" spans="1:11" s="200" customFormat="1" ht="26.25" thickBot="1">
      <c r="A332" s="202" t="s">
        <v>490</v>
      </c>
      <c r="B332" s="195" t="s">
        <v>489</v>
      </c>
      <c r="C332" s="195" t="s">
        <v>488</v>
      </c>
      <c r="D332" s="197">
        <v>195</v>
      </c>
      <c r="E332" s="197"/>
      <c r="F332" s="196">
        <f>11.803+53.5503+124.1141+0.513</f>
        <v>189.9804</v>
      </c>
      <c r="G332" s="108" t="s">
        <v>487</v>
      </c>
      <c r="H332" s="201"/>
      <c r="I332" s="201"/>
      <c r="J332" s="201"/>
      <c r="K332" s="201"/>
    </row>
    <row r="333" spans="1:11" s="200" customFormat="1" ht="13.5" thickBot="1">
      <c r="A333" s="199"/>
      <c r="B333" s="199" t="s">
        <v>479</v>
      </c>
      <c r="C333" s="199"/>
      <c r="D333" s="193">
        <f>D334+D335+D336</f>
        <v>3659.2759999999998</v>
      </c>
      <c r="E333" s="193"/>
      <c r="F333" s="192">
        <f>F334</f>
        <v>438.50299999999999</v>
      </c>
      <c r="G333" s="198"/>
      <c r="H333" s="201"/>
      <c r="I333" s="201"/>
      <c r="J333" s="201"/>
      <c r="K333" s="201"/>
    </row>
    <row r="334" spans="1:11" s="200" customFormat="1" ht="26.25" thickBot="1">
      <c r="A334" s="195" t="s">
        <v>486</v>
      </c>
      <c r="B334" s="195" t="s">
        <v>485</v>
      </c>
      <c r="C334" s="195" t="s">
        <v>479</v>
      </c>
      <c r="D334" s="197">
        <v>1490</v>
      </c>
      <c r="E334" s="197"/>
      <c r="F334" s="196">
        <v>438.50299999999999</v>
      </c>
      <c r="G334" s="108" t="s">
        <v>484</v>
      </c>
      <c r="H334" s="201"/>
      <c r="I334" s="201"/>
      <c r="J334" s="201"/>
      <c r="K334" s="201"/>
    </row>
    <row r="335" spans="1:11" s="200" customFormat="1" ht="26.25" thickBot="1">
      <c r="A335" s="195" t="s">
        <v>483</v>
      </c>
      <c r="B335" s="195" t="s">
        <v>482</v>
      </c>
      <c r="C335" s="195" t="s">
        <v>479</v>
      </c>
      <c r="D335" s="197">
        <v>273.77300000000002</v>
      </c>
      <c r="E335" s="197"/>
      <c r="F335" s="196">
        <v>0</v>
      </c>
      <c r="G335" s="108"/>
      <c r="H335" s="201"/>
      <c r="I335" s="201"/>
      <c r="J335" s="201"/>
      <c r="K335" s="201"/>
    </row>
    <row r="336" spans="1:11" s="200" customFormat="1" ht="26.25" thickBot="1">
      <c r="A336" s="195" t="s">
        <v>481</v>
      </c>
      <c r="B336" s="195" t="s">
        <v>480</v>
      </c>
      <c r="C336" s="195" t="s">
        <v>479</v>
      </c>
      <c r="D336" s="197">
        <v>1895.5029999999999</v>
      </c>
      <c r="E336" s="197"/>
      <c r="F336" s="196">
        <v>0</v>
      </c>
      <c r="G336" s="108"/>
      <c r="H336" s="201"/>
      <c r="I336" s="201"/>
      <c r="J336" s="201"/>
      <c r="K336" s="201"/>
    </row>
    <row r="337" spans="1:11" s="200" customFormat="1" ht="15" customHeight="1" thickBot="1">
      <c r="A337" s="199"/>
      <c r="B337" s="199" t="s">
        <v>468</v>
      </c>
      <c r="C337" s="199"/>
      <c r="D337" s="193">
        <f>D338+D339+D340</f>
        <v>1500</v>
      </c>
      <c r="E337" s="193"/>
      <c r="F337" s="192">
        <f>F338+F339+F340</f>
        <v>434.73061999999999</v>
      </c>
      <c r="G337" s="198"/>
      <c r="H337" s="201"/>
      <c r="I337" s="201"/>
      <c r="J337" s="201"/>
      <c r="K337" s="201"/>
    </row>
    <row r="338" spans="1:11" s="190" customFormat="1" ht="26.25" thickBot="1">
      <c r="A338" s="195" t="s">
        <v>478</v>
      </c>
      <c r="B338" s="195" t="s">
        <v>477</v>
      </c>
      <c r="C338" s="195" t="s">
        <v>468</v>
      </c>
      <c r="D338" s="197">
        <v>50</v>
      </c>
      <c r="E338" s="197"/>
      <c r="F338" s="196">
        <v>0</v>
      </c>
      <c r="G338" s="108"/>
      <c r="H338" s="191"/>
      <c r="I338" s="191"/>
      <c r="J338" s="191"/>
      <c r="K338" s="191"/>
    </row>
    <row r="339" spans="1:11" s="190" customFormat="1" ht="39" thickBot="1">
      <c r="A339" s="195" t="s">
        <v>476</v>
      </c>
      <c r="B339" s="195" t="s">
        <v>475</v>
      </c>
      <c r="C339" s="195" t="s">
        <v>468</v>
      </c>
      <c r="D339" s="197">
        <v>850</v>
      </c>
      <c r="E339" s="197"/>
      <c r="F339" s="196">
        <f>254.7309</f>
        <v>254.73089999999999</v>
      </c>
      <c r="G339" s="108" t="s">
        <v>474</v>
      </c>
      <c r="H339" s="191"/>
      <c r="I339" s="191"/>
      <c r="J339" s="191"/>
      <c r="K339" s="191"/>
    </row>
    <row r="340" spans="1:11" s="190" customFormat="1" ht="26.25" thickBot="1">
      <c r="A340" s="195" t="s">
        <v>473</v>
      </c>
      <c r="B340" s="195" t="s">
        <v>472</v>
      </c>
      <c r="C340" s="195" t="s">
        <v>468</v>
      </c>
      <c r="D340" s="197">
        <v>600</v>
      </c>
      <c r="E340" s="197"/>
      <c r="F340" s="196">
        <v>179.99972</v>
      </c>
      <c r="G340" s="108" t="s">
        <v>362</v>
      </c>
      <c r="H340" s="191"/>
      <c r="I340" s="191"/>
      <c r="J340" s="191"/>
      <c r="K340" s="191"/>
    </row>
    <row r="341" spans="1:11" s="190" customFormat="1" ht="26.25" thickBot="1">
      <c r="A341" s="199"/>
      <c r="B341" s="199" t="s">
        <v>471</v>
      </c>
      <c r="C341" s="195" t="s">
        <v>468</v>
      </c>
      <c r="D341" s="193">
        <f>D342</f>
        <v>350</v>
      </c>
      <c r="E341" s="193"/>
      <c r="F341" s="192">
        <f>F342</f>
        <v>189.83799999999999</v>
      </c>
      <c r="G341" s="198"/>
      <c r="H341" s="191"/>
      <c r="I341" s="191"/>
      <c r="J341" s="191"/>
      <c r="K341" s="191"/>
    </row>
    <row r="342" spans="1:11" s="190" customFormat="1" ht="26.25" thickBot="1">
      <c r="A342" s="195" t="s">
        <v>470</v>
      </c>
      <c r="B342" s="195" t="s">
        <v>469</v>
      </c>
      <c r="C342" s="195" t="s">
        <v>468</v>
      </c>
      <c r="D342" s="197">
        <v>350</v>
      </c>
      <c r="E342" s="197"/>
      <c r="F342" s="196">
        <v>189.83799999999999</v>
      </c>
      <c r="G342" s="108" t="s">
        <v>467</v>
      </c>
      <c r="H342" s="191"/>
      <c r="I342" s="191"/>
      <c r="J342" s="191"/>
      <c r="K342" s="191"/>
    </row>
    <row r="343" spans="1:11" s="190" customFormat="1" ht="13.5" thickBot="1">
      <c r="A343" s="195"/>
      <c r="B343" s="194" t="s">
        <v>466</v>
      </c>
      <c r="C343" s="194"/>
      <c r="D343" s="193">
        <f>D224+D255+D326+D330+D333+D337+D341</f>
        <v>71621.366999999984</v>
      </c>
      <c r="E343" s="193"/>
      <c r="F343" s="192">
        <f>F341+F337+F333+F330+F326+F255+F224</f>
        <v>25960.20148</v>
      </c>
      <c r="G343" s="108"/>
      <c r="H343" s="191"/>
      <c r="I343" s="191"/>
      <c r="J343" s="191"/>
      <c r="K343" s="191"/>
    </row>
    <row r="344" spans="1:11" s="2" customFormat="1">
      <c r="A344" s="187"/>
      <c r="B344" s="187"/>
      <c r="C344" s="189"/>
      <c r="D344" s="188"/>
      <c r="E344" s="188"/>
      <c r="F344" s="188"/>
      <c r="G344" s="187"/>
    </row>
    <row r="345" spans="1:11" s="2" customFormat="1">
      <c r="A345" s="114" t="s">
        <v>465</v>
      </c>
      <c r="B345" s="114"/>
      <c r="C345" s="114"/>
      <c r="D345" s="114"/>
      <c r="E345" s="114"/>
      <c r="F345" s="114"/>
      <c r="G345" s="114"/>
    </row>
    <row r="346" spans="1:11" s="2" customFormat="1">
      <c r="A346" s="184" t="s">
        <v>464</v>
      </c>
      <c r="B346" s="185" t="s">
        <v>462</v>
      </c>
      <c r="C346" s="184" t="s">
        <v>462</v>
      </c>
      <c r="D346" s="183">
        <v>1427.6859999999999</v>
      </c>
      <c r="E346" s="183">
        <v>681.20399999999995</v>
      </c>
      <c r="F346" s="186">
        <v>681.20399999999995</v>
      </c>
      <c r="G346" s="181"/>
    </row>
    <row r="347" spans="1:11" s="2" customFormat="1">
      <c r="A347" s="181" t="s">
        <v>463</v>
      </c>
      <c r="B347" s="185" t="s">
        <v>462</v>
      </c>
      <c r="C347" s="184" t="s">
        <v>462</v>
      </c>
      <c r="D347" s="183">
        <v>100.363</v>
      </c>
      <c r="E347" s="183">
        <v>30.109000000000002</v>
      </c>
      <c r="F347" s="182">
        <v>30.109000000000002</v>
      </c>
      <c r="G347" s="181"/>
    </row>
    <row r="348" spans="1:11" s="2" customFormat="1" ht="26.25">
      <c r="A348" s="172"/>
      <c r="B348" s="171" t="s">
        <v>461</v>
      </c>
      <c r="C348" s="150" t="s">
        <v>363</v>
      </c>
      <c r="D348" s="138">
        <v>20</v>
      </c>
      <c r="E348" s="138"/>
      <c r="F348" s="151"/>
      <c r="G348" s="168"/>
    </row>
    <row r="349" spans="1:11" s="2" customFormat="1" ht="25.5">
      <c r="A349" s="71" t="s">
        <v>460</v>
      </c>
      <c r="B349" s="176" t="s">
        <v>459</v>
      </c>
      <c r="C349" s="72" t="s">
        <v>363</v>
      </c>
      <c r="D349" s="69">
        <v>605.54</v>
      </c>
      <c r="E349" s="69">
        <v>64.879000000000005</v>
      </c>
      <c r="F349" s="69">
        <v>49.137999999999998</v>
      </c>
      <c r="G349" s="72" t="s">
        <v>381</v>
      </c>
    </row>
    <row r="350" spans="1:11" s="2" customFormat="1" ht="26.25">
      <c r="A350" s="149"/>
      <c r="B350" s="163" t="s">
        <v>458</v>
      </c>
      <c r="C350" s="150" t="s">
        <v>363</v>
      </c>
      <c r="D350" s="138">
        <v>20</v>
      </c>
      <c r="E350" s="138"/>
      <c r="F350" s="151"/>
      <c r="G350" s="150"/>
    </row>
    <row r="351" spans="1:11" s="2" customFormat="1" ht="26.25">
      <c r="A351" s="149" t="s">
        <v>457</v>
      </c>
      <c r="B351" s="163" t="s">
        <v>456</v>
      </c>
      <c r="C351" s="150" t="s">
        <v>363</v>
      </c>
      <c r="D351" s="138">
        <v>743.97799999999995</v>
      </c>
      <c r="E351" s="138">
        <v>454.827</v>
      </c>
      <c r="F351" s="151">
        <v>405.65800000000002</v>
      </c>
      <c r="G351" s="150" t="s">
        <v>455</v>
      </c>
    </row>
    <row r="352" spans="1:11" s="2" customFormat="1" ht="26.25">
      <c r="A352" s="149"/>
      <c r="B352" s="163" t="s">
        <v>454</v>
      </c>
      <c r="C352" s="150" t="s">
        <v>363</v>
      </c>
      <c r="D352" s="138">
        <v>20</v>
      </c>
      <c r="E352" s="138"/>
      <c r="F352" s="151"/>
      <c r="G352" s="150"/>
    </row>
    <row r="353" spans="1:7" s="2" customFormat="1" ht="26.25">
      <c r="A353" s="149"/>
      <c r="B353" s="163" t="s">
        <v>453</v>
      </c>
      <c r="C353" s="150" t="s">
        <v>363</v>
      </c>
      <c r="D353" s="138">
        <v>20</v>
      </c>
      <c r="E353" s="138"/>
      <c r="F353" s="151"/>
      <c r="G353" s="150"/>
    </row>
    <row r="354" spans="1:7" s="2" customFormat="1" ht="26.25">
      <c r="A354" s="149" t="s">
        <v>452</v>
      </c>
      <c r="B354" s="163" t="s">
        <v>451</v>
      </c>
      <c r="C354" s="150" t="s">
        <v>363</v>
      </c>
      <c r="D354" s="138">
        <v>694.35199999999998</v>
      </c>
      <c r="E354" s="138">
        <v>388.03399999999999</v>
      </c>
      <c r="F354" s="151">
        <v>347.17599999999999</v>
      </c>
      <c r="G354" s="150" t="s">
        <v>450</v>
      </c>
    </row>
    <row r="355" spans="1:7" s="2" customFormat="1" ht="26.25">
      <c r="A355" s="149" t="s">
        <v>449</v>
      </c>
      <c r="B355" s="163" t="s">
        <v>448</v>
      </c>
      <c r="C355" s="150" t="s">
        <v>363</v>
      </c>
      <c r="D355" s="138">
        <v>407.08</v>
      </c>
      <c r="E355" s="138">
        <v>203.54</v>
      </c>
      <c r="F355" s="151">
        <v>203.54</v>
      </c>
      <c r="G355" s="150" t="s">
        <v>391</v>
      </c>
    </row>
    <row r="356" spans="1:7" s="2" customFormat="1" ht="26.25">
      <c r="A356" s="149" t="s">
        <v>447</v>
      </c>
      <c r="B356" s="163" t="s">
        <v>446</v>
      </c>
      <c r="C356" s="150" t="s">
        <v>363</v>
      </c>
      <c r="D356" s="138">
        <v>300</v>
      </c>
      <c r="E356" s="138">
        <v>150</v>
      </c>
      <c r="F356" s="151">
        <v>150</v>
      </c>
      <c r="G356" s="150" t="s">
        <v>362</v>
      </c>
    </row>
    <row r="357" spans="1:7" s="2" customFormat="1" ht="26.25">
      <c r="A357" s="149" t="s">
        <v>445</v>
      </c>
      <c r="B357" s="165" t="s">
        <v>444</v>
      </c>
      <c r="C357" s="150" t="s">
        <v>363</v>
      </c>
      <c r="D357" s="138">
        <v>886.86199999999997</v>
      </c>
      <c r="E357" s="138">
        <v>98.194000000000003</v>
      </c>
      <c r="F357" s="151">
        <v>56.41</v>
      </c>
      <c r="G357" s="150" t="s">
        <v>443</v>
      </c>
    </row>
    <row r="358" spans="1:7" s="2" customFormat="1" ht="26.25">
      <c r="A358" s="149"/>
      <c r="B358" s="153" t="s">
        <v>442</v>
      </c>
      <c r="C358" s="72" t="s">
        <v>363</v>
      </c>
      <c r="D358" s="138">
        <v>1200</v>
      </c>
      <c r="E358" s="151">
        <v>50</v>
      </c>
      <c r="F358" s="151">
        <v>10.782</v>
      </c>
      <c r="G358" s="150" t="s">
        <v>441</v>
      </c>
    </row>
    <row r="359" spans="1:7" s="2" customFormat="1" ht="26.25">
      <c r="A359" s="149" t="s">
        <v>440</v>
      </c>
      <c r="B359" s="163" t="s">
        <v>439</v>
      </c>
      <c r="C359" s="72" t="s">
        <v>363</v>
      </c>
      <c r="D359" s="138">
        <v>2000</v>
      </c>
      <c r="E359" s="138">
        <v>49.302999999999997</v>
      </c>
      <c r="F359" s="151">
        <f>46.3028</f>
        <v>46.302799999999998</v>
      </c>
      <c r="G359" s="150" t="s">
        <v>438</v>
      </c>
    </row>
    <row r="360" spans="1:7" s="2" customFormat="1" ht="26.25">
      <c r="A360" s="180"/>
      <c r="B360" s="163" t="s">
        <v>437</v>
      </c>
      <c r="C360" s="177" t="s">
        <v>359</v>
      </c>
      <c r="D360" s="179">
        <v>200</v>
      </c>
      <c r="E360" s="179">
        <v>0</v>
      </c>
      <c r="F360" s="178"/>
      <c r="G360" s="177"/>
    </row>
    <row r="361" spans="1:7" s="2" customFormat="1" ht="26.25">
      <c r="A361" s="149" t="s">
        <v>436</v>
      </c>
      <c r="B361" s="163" t="s">
        <v>435</v>
      </c>
      <c r="C361" s="150" t="s">
        <v>359</v>
      </c>
      <c r="D361" s="138">
        <v>1341.412</v>
      </c>
      <c r="E361" s="138">
        <v>554.88699999999994</v>
      </c>
      <c r="F361" s="151">
        <v>61.572000000000003</v>
      </c>
      <c r="G361" s="150" t="s">
        <v>401</v>
      </c>
    </row>
    <row r="362" spans="1:7" s="2" customFormat="1" ht="15">
      <c r="A362" s="149"/>
      <c r="B362" s="163" t="s">
        <v>434</v>
      </c>
      <c r="C362" s="150" t="s">
        <v>359</v>
      </c>
      <c r="D362" s="138">
        <v>25</v>
      </c>
      <c r="E362" s="138"/>
      <c r="F362" s="151"/>
      <c r="G362" s="150"/>
    </row>
    <row r="363" spans="1:7" s="2" customFormat="1" ht="26.25">
      <c r="A363" s="149" t="s">
        <v>433</v>
      </c>
      <c r="B363" s="163" t="s">
        <v>432</v>
      </c>
      <c r="C363" s="150" t="s">
        <v>359</v>
      </c>
      <c r="D363" s="138">
        <v>55.078000000000003</v>
      </c>
      <c r="E363" s="138">
        <v>55.078000000000003</v>
      </c>
      <c r="F363" s="151">
        <v>54.066000000000003</v>
      </c>
      <c r="G363" s="150" t="s">
        <v>401</v>
      </c>
    </row>
    <row r="364" spans="1:7" s="2" customFormat="1" ht="63.75">
      <c r="A364" s="71" t="s">
        <v>431</v>
      </c>
      <c r="B364" s="176" t="s">
        <v>430</v>
      </c>
      <c r="C364" s="72" t="s">
        <v>359</v>
      </c>
      <c r="D364" s="69">
        <v>453.745</v>
      </c>
      <c r="E364" s="69">
        <v>399.18799999999999</v>
      </c>
      <c r="F364" s="69">
        <v>395.46600000000001</v>
      </c>
      <c r="G364" s="72" t="s">
        <v>429</v>
      </c>
    </row>
    <row r="365" spans="1:7" s="2" customFormat="1" ht="63.75">
      <c r="A365" s="71" t="s">
        <v>428</v>
      </c>
      <c r="B365" s="176" t="s">
        <v>427</v>
      </c>
      <c r="C365" s="72" t="s">
        <v>359</v>
      </c>
      <c r="D365" s="69">
        <v>548.35799999999995</v>
      </c>
      <c r="E365" s="69">
        <v>197</v>
      </c>
      <c r="F365" s="69">
        <v>193.642</v>
      </c>
      <c r="G365" s="72" t="s">
        <v>426</v>
      </c>
    </row>
    <row r="366" spans="1:7" s="2" customFormat="1" ht="51.75">
      <c r="A366" s="149" t="s">
        <v>425</v>
      </c>
      <c r="B366" s="163" t="s">
        <v>424</v>
      </c>
      <c r="C366" s="150" t="s">
        <v>359</v>
      </c>
      <c r="D366" s="138">
        <v>590.07600000000002</v>
      </c>
      <c r="E366" s="138">
        <v>265.44600000000003</v>
      </c>
      <c r="F366" s="151">
        <v>222.428</v>
      </c>
      <c r="G366" s="72" t="s">
        <v>423</v>
      </c>
    </row>
    <row r="367" spans="1:7" s="2" customFormat="1" ht="26.25">
      <c r="A367" s="149" t="s">
        <v>422</v>
      </c>
      <c r="B367" s="163" t="s">
        <v>421</v>
      </c>
      <c r="C367" s="150" t="s">
        <v>359</v>
      </c>
      <c r="D367" s="138">
        <v>63.731999999999999</v>
      </c>
      <c r="E367" s="138">
        <v>63.731999999999999</v>
      </c>
      <c r="F367" s="151">
        <v>61.572000000000003</v>
      </c>
      <c r="G367" s="150" t="s">
        <v>401</v>
      </c>
    </row>
    <row r="368" spans="1:7" s="2" customFormat="1" ht="15">
      <c r="A368" s="149"/>
      <c r="B368" s="163" t="s">
        <v>420</v>
      </c>
      <c r="C368" s="150" t="s">
        <v>359</v>
      </c>
      <c r="D368" s="138">
        <v>93.474999999999994</v>
      </c>
      <c r="E368" s="138">
        <v>58.39</v>
      </c>
      <c r="F368" s="151">
        <v>58.39</v>
      </c>
      <c r="G368" s="150" t="s">
        <v>394</v>
      </c>
    </row>
    <row r="369" spans="1:7" s="2" customFormat="1" ht="15">
      <c r="A369" s="149"/>
      <c r="B369" s="163" t="s">
        <v>419</v>
      </c>
      <c r="C369" s="150" t="s">
        <v>359</v>
      </c>
      <c r="D369" s="138">
        <v>60.686</v>
      </c>
      <c r="E369" s="138"/>
      <c r="F369" s="151"/>
      <c r="G369" s="150"/>
    </row>
    <row r="370" spans="1:7" s="2" customFormat="1" ht="15">
      <c r="A370" s="149"/>
      <c r="B370" s="163" t="s">
        <v>418</v>
      </c>
      <c r="C370" s="150" t="s">
        <v>359</v>
      </c>
      <c r="D370" s="138">
        <v>83.846999999999994</v>
      </c>
      <c r="E370" s="138"/>
      <c r="F370" s="151"/>
      <c r="G370" s="150"/>
    </row>
    <row r="371" spans="1:7" s="2" customFormat="1" ht="15">
      <c r="A371" s="149"/>
      <c r="B371" s="163" t="s">
        <v>417</v>
      </c>
      <c r="C371" s="150" t="s">
        <v>359</v>
      </c>
      <c r="D371" s="138">
        <v>80.591999999999999</v>
      </c>
      <c r="E371" s="138"/>
      <c r="F371" s="151"/>
      <c r="G371" s="150"/>
    </row>
    <row r="372" spans="1:7" s="2" customFormat="1" ht="15">
      <c r="A372" s="149"/>
      <c r="B372" s="163" t="s">
        <v>416</v>
      </c>
      <c r="C372" s="150" t="s">
        <v>359</v>
      </c>
      <c r="D372" s="138">
        <v>74.212000000000003</v>
      </c>
      <c r="E372" s="138">
        <v>74.212000000000003</v>
      </c>
      <c r="F372" s="151">
        <v>74.212000000000003</v>
      </c>
      <c r="G372" s="150" t="s">
        <v>415</v>
      </c>
    </row>
    <row r="373" spans="1:7" s="2" customFormat="1" ht="39">
      <c r="A373" s="149"/>
      <c r="B373" s="163" t="s">
        <v>414</v>
      </c>
      <c r="C373" s="150" t="s">
        <v>359</v>
      </c>
      <c r="D373" s="138">
        <v>783.99</v>
      </c>
      <c r="E373" s="138">
        <v>367.98</v>
      </c>
      <c r="F373" s="151">
        <v>366.40699999999998</v>
      </c>
      <c r="G373" s="72" t="s">
        <v>413</v>
      </c>
    </row>
    <row r="374" spans="1:7" s="2" customFormat="1" ht="39">
      <c r="A374" s="149"/>
      <c r="B374" s="163" t="s">
        <v>412</v>
      </c>
      <c r="C374" s="150" t="s">
        <v>359</v>
      </c>
      <c r="D374" s="138">
        <v>1614.7260000000001</v>
      </c>
      <c r="E374" s="138">
        <v>3.1739999999999999</v>
      </c>
      <c r="F374" s="151">
        <v>3.173</v>
      </c>
      <c r="G374" s="72" t="s">
        <v>411</v>
      </c>
    </row>
    <row r="375" spans="1:7" s="2" customFormat="1" ht="15">
      <c r="A375" s="149"/>
      <c r="B375" s="163" t="s">
        <v>410</v>
      </c>
      <c r="C375" s="150" t="s">
        <v>359</v>
      </c>
      <c r="D375" s="138">
        <v>74.212999999999994</v>
      </c>
      <c r="E375" s="138">
        <v>74.212999999999994</v>
      </c>
      <c r="F375" s="138">
        <v>74.212000000000003</v>
      </c>
      <c r="G375" s="150" t="s">
        <v>408</v>
      </c>
    </row>
    <row r="376" spans="1:7" s="2" customFormat="1" ht="15">
      <c r="A376" s="149"/>
      <c r="B376" s="163" t="s">
        <v>409</v>
      </c>
      <c r="C376" s="150" t="s">
        <v>359</v>
      </c>
      <c r="D376" s="138">
        <v>74.212999999999994</v>
      </c>
      <c r="E376" s="138">
        <v>74.212999999999994</v>
      </c>
      <c r="F376" s="151">
        <v>74.212000000000003</v>
      </c>
      <c r="G376" s="150" t="s">
        <v>408</v>
      </c>
    </row>
    <row r="377" spans="1:7" s="2" customFormat="1" ht="15">
      <c r="A377" s="149"/>
      <c r="B377" s="163" t="s">
        <v>407</v>
      </c>
      <c r="C377" s="150" t="s">
        <v>359</v>
      </c>
      <c r="D377" s="138">
        <v>80.591999999999999</v>
      </c>
      <c r="E377" s="138"/>
      <c r="F377" s="151"/>
      <c r="G377" s="150"/>
    </row>
    <row r="378" spans="1:7" s="175" customFormat="1" ht="15">
      <c r="A378" s="149" t="s">
        <v>406</v>
      </c>
      <c r="B378" s="163" t="s">
        <v>405</v>
      </c>
      <c r="C378" s="150" t="s">
        <v>359</v>
      </c>
      <c r="D378" s="138">
        <v>639.87400000000002</v>
      </c>
      <c r="E378" s="138">
        <v>319.93700000000001</v>
      </c>
      <c r="F378" s="151">
        <v>319.93700000000001</v>
      </c>
      <c r="G378" s="150" t="s">
        <v>404</v>
      </c>
    </row>
    <row r="379" spans="1:7" s="2" customFormat="1" ht="15">
      <c r="A379" s="149"/>
      <c r="B379" s="163" t="s">
        <v>403</v>
      </c>
      <c r="C379" s="150" t="s">
        <v>359</v>
      </c>
      <c r="D379" s="138">
        <v>927.36</v>
      </c>
      <c r="E379" s="138"/>
      <c r="F379" s="151"/>
      <c r="G379" s="150"/>
    </row>
    <row r="380" spans="1:7" s="2" customFormat="1" ht="26.25">
      <c r="A380" s="149"/>
      <c r="B380" s="163" t="s">
        <v>402</v>
      </c>
      <c r="C380" s="150" t="s">
        <v>359</v>
      </c>
      <c r="D380" s="138">
        <v>1558.9960000000001</v>
      </c>
      <c r="E380" s="138">
        <v>19.050999999999998</v>
      </c>
      <c r="F380" s="151">
        <v>19.050999999999998</v>
      </c>
      <c r="G380" s="150" t="s">
        <v>401</v>
      </c>
    </row>
    <row r="381" spans="1:7" s="2" customFormat="1" ht="26.25">
      <c r="A381" s="149"/>
      <c r="B381" s="163" t="s">
        <v>400</v>
      </c>
      <c r="C381" s="150" t="s">
        <v>359</v>
      </c>
      <c r="D381" s="138">
        <v>1527.38</v>
      </c>
      <c r="E381" s="138">
        <v>542.54100000000005</v>
      </c>
      <c r="F381" s="151">
        <v>542.54100000000005</v>
      </c>
      <c r="G381" s="150" t="s">
        <v>399</v>
      </c>
    </row>
    <row r="382" spans="1:7" s="2" customFormat="1" ht="15">
      <c r="A382" s="149"/>
      <c r="B382" s="163" t="s">
        <v>398</v>
      </c>
      <c r="C382" s="150" t="s">
        <v>359</v>
      </c>
      <c r="D382" s="138">
        <v>79.331999999999994</v>
      </c>
      <c r="E382" s="138"/>
      <c r="F382" s="151"/>
      <c r="G382" s="150"/>
    </row>
    <row r="383" spans="1:7" s="2" customFormat="1" ht="15">
      <c r="A383" s="149" t="s">
        <v>397</v>
      </c>
      <c r="B383" s="163" t="s">
        <v>396</v>
      </c>
      <c r="C383" s="150" t="s">
        <v>359</v>
      </c>
      <c r="D383" s="138">
        <v>511.4</v>
      </c>
      <c r="E383" s="138">
        <v>47.790999999999997</v>
      </c>
      <c r="F383" s="151">
        <v>47.731999999999999</v>
      </c>
      <c r="G383" s="72" t="s">
        <v>381</v>
      </c>
    </row>
    <row r="384" spans="1:7" s="2" customFormat="1" ht="26.25">
      <c r="A384" s="149"/>
      <c r="B384" s="163" t="s">
        <v>395</v>
      </c>
      <c r="C384" s="150" t="s">
        <v>359</v>
      </c>
      <c r="D384" s="138">
        <v>93.475999999999999</v>
      </c>
      <c r="E384" s="138">
        <v>93.475999999999999</v>
      </c>
      <c r="F384" s="151">
        <v>61.420999999999999</v>
      </c>
      <c r="G384" s="150" t="s">
        <v>394</v>
      </c>
    </row>
    <row r="385" spans="1:7" s="2" customFormat="1" ht="15">
      <c r="A385" s="149" t="s">
        <v>393</v>
      </c>
      <c r="B385" s="163" t="s">
        <v>392</v>
      </c>
      <c r="C385" s="150" t="s">
        <v>359</v>
      </c>
      <c r="D385" s="138">
        <v>600</v>
      </c>
      <c r="E385" s="138">
        <v>300</v>
      </c>
      <c r="F385" s="151">
        <v>300</v>
      </c>
      <c r="G385" s="150" t="s">
        <v>391</v>
      </c>
    </row>
    <row r="386" spans="1:7" s="2" customFormat="1" ht="15">
      <c r="A386" s="149"/>
      <c r="B386" s="163" t="s">
        <v>390</v>
      </c>
      <c r="C386" s="150" t="s">
        <v>359</v>
      </c>
      <c r="D386" s="138">
        <v>105.40900000000001</v>
      </c>
      <c r="E386" s="138"/>
      <c r="F386" s="151"/>
      <c r="G386" s="150"/>
    </row>
    <row r="387" spans="1:7" s="2" customFormat="1" ht="26.25">
      <c r="A387" s="149" t="s">
        <v>389</v>
      </c>
      <c r="B387" s="163" t="s">
        <v>388</v>
      </c>
      <c r="C387" s="150" t="s">
        <v>359</v>
      </c>
      <c r="D387" s="138">
        <v>1376.35</v>
      </c>
      <c r="E387" s="138">
        <v>584.45000000000005</v>
      </c>
      <c r="F387" s="151">
        <v>583.54</v>
      </c>
      <c r="G387" s="150" t="s">
        <v>387</v>
      </c>
    </row>
    <row r="388" spans="1:7" s="2" customFormat="1" ht="39">
      <c r="A388" s="149" t="s">
        <v>386</v>
      </c>
      <c r="B388" s="163" t="s">
        <v>385</v>
      </c>
      <c r="C388" s="150" t="s">
        <v>359</v>
      </c>
      <c r="D388" s="138">
        <v>681.73199999999997</v>
      </c>
      <c r="E388" s="138">
        <v>597.94600000000003</v>
      </c>
      <c r="F388" s="151">
        <v>346.911</v>
      </c>
      <c r="G388" s="72" t="s">
        <v>384</v>
      </c>
    </row>
    <row r="389" spans="1:7" s="2" customFormat="1" ht="26.25">
      <c r="A389" s="174" t="s">
        <v>383</v>
      </c>
      <c r="B389" s="157" t="s">
        <v>382</v>
      </c>
      <c r="C389" s="145" t="s">
        <v>359</v>
      </c>
      <c r="D389" s="142">
        <v>753.08199999999999</v>
      </c>
      <c r="E389" s="142">
        <v>103.595</v>
      </c>
      <c r="F389" s="146">
        <v>59.564</v>
      </c>
      <c r="G389" s="173" t="s">
        <v>381</v>
      </c>
    </row>
    <row r="390" spans="1:7" s="2" customFormat="1" ht="15">
      <c r="A390" s="139"/>
      <c r="B390" s="78" t="s">
        <v>380</v>
      </c>
      <c r="C390" s="130" t="s">
        <v>11</v>
      </c>
      <c r="D390" s="138">
        <v>1766</v>
      </c>
      <c r="E390" s="138">
        <v>845.56399999999996</v>
      </c>
      <c r="F390" s="128"/>
      <c r="G390" s="72"/>
    </row>
    <row r="391" spans="1:7" s="2" customFormat="1" ht="26.25">
      <c r="A391" s="139"/>
      <c r="B391" s="78" t="s">
        <v>379</v>
      </c>
      <c r="C391" s="130" t="s">
        <v>11</v>
      </c>
      <c r="D391" s="138">
        <v>1272</v>
      </c>
      <c r="E391" s="138"/>
      <c r="F391" s="128"/>
      <c r="G391" s="72"/>
    </row>
    <row r="392" spans="1:7" s="2" customFormat="1" ht="15">
      <c r="A392" s="139"/>
      <c r="B392" s="78" t="s">
        <v>378</v>
      </c>
      <c r="C392" s="130" t="s">
        <v>11</v>
      </c>
      <c r="D392" s="138">
        <v>25</v>
      </c>
      <c r="E392" s="138">
        <v>25</v>
      </c>
      <c r="F392" s="128"/>
      <c r="G392" s="72"/>
    </row>
    <row r="393" spans="1:7" s="2" customFormat="1" ht="15">
      <c r="A393" s="139"/>
      <c r="B393" s="78" t="s">
        <v>377</v>
      </c>
      <c r="C393" s="130" t="s">
        <v>11</v>
      </c>
      <c r="D393" s="138">
        <v>500</v>
      </c>
      <c r="E393" s="138">
        <v>249.9</v>
      </c>
      <c r="F393" s="128">
        <v>249.9</v>
      </c>
      <c r="G393" s="72" t="s">
        <v>376</v>
      </c>
    </row>
    <row r="394" spans="1:7" s="2" customFormat="1" ht="39">
      <c r="A394" s="172"/>
      <c r="B394" s="171" t="s">
        <v>375</v>
      </c>
      <c r="C394" s="168" t="s">
        <v>359</v>
      </c>
      <c r="D394" s="170">
        <v>20</v>
      </c>
      <c r="E394" s="170"/>
      <c r="F394" s="169"/>
      <c r="G394" s="168"/>
    </row>
    <row r="395" spans="1:7" s="2" customFormat="1" ht="39">
      <c r="A395" s="149"/>
      <c r="B395" s="163" t="s">
        <v>374</v>
      </c>
      <c r="C395" s="150" t="s">
        <v>359</v>
      </c>
      <c r="D395" s="138">
        <v>25</v>
      </c>
      <c r="E395" s="138">
        <v>25</v>
      </c>
      <c r="F395" s="151">
        <v>25</v>
      </c>
      <c r="G395" s="150" t="s">
        <v>372</v>
      </c>
    </row>
    <row r="396" spans="1:7" s="2" customFormat="1" ht="26.25">
      <c r="A396" s="149"/>
      <c r="B396" s="163" t="s">
        <v>373</v>
      </c>
      <c r="C396" s="150" t="s">
        <v>359</v>
      </c>
      <c r="D396" s="138">
        <v>20</v>
      </c>
      <c r="E396" s="138">
        <v>20</v>
      </c>
      <c r="F396" s="151">
        <v>20</v>
      </c>
      <c r="G396" s="150" t="s">
        <v>372</v>
      </c>
    </row>
    <row r="397" spans="1:7" s="2" customFormat="1" ht="39">
      <c r="A397" s="149"/>
      <c r="B397" s="165" t="s">
        <v>371</v>
      </c>
      <c r="C397" s="150" t="s">
        <v>359</v>
      </c>
      <c r="D397" s="138">
        <v>1074.8499999999999</v>
      </c>
      <c r="E397" s="138">
        <v>471.9</v>
      </c>
      <c r="F397" s="151">
        <v>471.18400000000003</v>
      </c>
      <c r="G397" s="150" t="s">
        <v>370</v>
      </c>
    </row>
    <row r="398" spans="1:7" s="2" customFormat="1" ht="38.25">
      <c r="A398" s="71" t="s">
        <v>369</v>
      </c>
      <c r="B398" s="73" t="s">
        <v>368</v>
      </c>
      <c r="C398" s="72" t="s">
        <v>367</v>
      </c>
      <c r="D398" s="69">
        <v>1400</v>
      </c>
      <c r="E398" s="69">
        <v>252</v>
      </c>
      <c r="F398" s="69">
        <v>161.84772000000001</v>
      </c>
      <c r="G398" s="72" t="s">
        <v>366</v>
      </c>
    </row>
    <row r="399" spans="1:7" s="2" customFormat="1" ht="76.5">
      <c r="A399" s="71" t="s">
        <v>365</v>
      </c>
      <c r="B399" s="73" t="s">
        <v>364</v>
      </c>
      <c r="C399" s="72" t="s">
        <v>363</v>
      </c>
      <c r="D399" s="69">
        <v>300</v>
      </c>
      <c r="E399" s="69">
        <v>300</v>
      </c>
      <c r="F399" s="69">
        <v>200</v>
      </c>
      <c r="G399" s="72" t="s">
        <v>362</v>
      </c>
    </row>
    <row r="400" spans="1:7" s="2" customFormat="1" ht="51.75">
      <c r="A400" s="149" t="s">
        <v>361</v>
      </c>
      <c r="B400" s="167" t="s">
        <v>360</v>
      </c>
      <c r="C400" s="150" t="s">
        <v>359</v>
      </c>
      <c r="D400" s="138">
        <v>4439.4070000000002</v>
      </c>
      <c r="E400" s="138">
        <v>2134</v>
      </c>
      <c r="F400" s="151">
        <v>2133.6410000000001</v>
      </c>
      <c r="G400" s="150" t="s">
        <v>358</v>
      </c>
    </row>
    <row r="401" spans="1:7" s="2" customFormat="1" ht="15">
      <c r="A401" s="149" t="s">
        <v>351</v>
      </c>
      <c r="B401" s="148" t="s">
        <v>357</v>
      </c>
      <c r="C401" s="166" t="s">
        <v>356</v>
      </c>
      <c r="D401" s="138">
        <v>500</v>
      </c>
      <c r="E401" s="138">
        <v>500</v>
      </c>
      <c r="F401" s="151"/>
      <c r="G401" s="150"/>
    </row>
    <row r="402" spans="1:7" s="2" customFormat="1" ht="51.75">
      <c r="A402" s="149" t="s">
        <v>355</v>
      </c>
      <c r="B402" s="153" t="s">
        <v>354</v>
      </c>
      <c r="C402" s="158" t="s">
        <v>320</v>
      </c>
      <c r="D402" s="138">
        <v>3658</v>
      </c>
      <c r="E402" s="138">
        <f>1030.477+40</f>
        <v>1070.4770000000001</v>
      </c>
      <c r="F402" s="151"/>
      <c r="G402" s="150"/>
    </row>
    <row r="403" spans="1:7" s="2" customFormat="1" ht="51.75">
      <c r="A403" s="149" t="s">
        <v>353</v>
      </c>
      <c r="B403" s="165" t="s">
        <v>352</v>
      </c>
      <c r="C403" s="164" t="s">
        <v>320</v>
      </c>
      <c r="D403" s="138">
        <v>4100</v>
      </c>
      <c r="E403" s="138">
        <v>50</v>
      </c>
      <c r="F403" s="151"/>
      <c r="G403" s="150"/>
    </row>
    <row r="404" spans="1:7" s="2" customFormat="1" ht="15">
      <c r="A404" s="149" t="s">
        <v>351</v>
      </c>
      <c r="B404" s="157" t="s">
        <v>350</v>
      </c>
      <c r="C404" s="156" t="s">
        <v>349</v>
      </c>
      <c r="D404" s="138">
        <v>500</v>
      </c>
      <c r="E404" s="138">
        <v>500</v>
      </c>
      <c r="F404" s="151"/>
      <c r="G404" s="150"/>
    </row>
    <row r="405" spans="1:7" s="2" customFormat="1" ht="51.75">
      <c r="A405" s="149" t="s">
        <v>348</v>
      </c>
      <c r="B405" s="157" t="s">
        <v>347</v>
      </c>
      <c r="C405" s="156" t="s">
        <v>346</v>
      </c>
      <c r="D405" s="138">
        <v>1270.7828</v>
      </c>
      <c r="E405" s="138">
        <v>1270.7829999999999</v>
      </c>
      <c r="F405" s="151"/>
      <c r="G405" s="150"/>
    </row>
    <row r="406" spans="1:7" s="2" customFormat="1" ht="51.75">
      <c r="A406" s="149" t="s">
        <v>345</v>
      </c>
      <c r="B406" s="163" t="s">
        <v>344</v>
      </c>
      <c r="C406" s="162" t="s">
        <v>320</v>
      </c>
      <c r="D406" s="138">
        <v>800</v>
      </c>
      <c r="E406" s="138">
        <v>240</v>
      </c>
      <c r="F406" s="151">
        <v>239.947</v>
      </c>
      <c r="G406" s="150" t="s">
        <v>343</v>
      </c>
    </row>
    <row r="407" spans="1:7" s="2" customFormat="1" ht="51">
      <c r="A407" s="155" t="s">
        <v>342</v>
      </c>
      <c r="B407" s="161" t="s">
        <v>341</v>
      </c>
      <c r="C407" s="160" t="s">
        <v>340</v>
      </c>
      <c r="D407" s="159">
        <v>288.15699999999998</v>
      </c>
      <c r="E407" s="154">
        <v>288.15699999999998</v>
      </c>
      <c r="F407" s="151">
        <v>287.77699999999999</v>
      </c>
      <c r="G407" s="150" t="s">
        <v>339</v>
      </c>
    </row>
    <row r="408" spans="1:7" s="2" customFormat="1" ht="51.75">
      <c r="A408" s="149" t="s">
        <v>338</v>
      </c>
      <c r="B408" s="153" t="s">
        <v>337</v>
      </c>
      <c r="C408" s="158" t="s">
        <v>336</v>
      </c>
      <c r="D408" s="138">
        <v>600</v>
      </c>
      <c r="E408" s="151">
        <v>179.31299999999999</v>
      </c>
      <c r="F408" s="151"/>
      <c r="G408" s="150"/>
    </row>
    <row r="409" spans="1:7" s="2" customFormat="1" ht="51.75">
      <c r="A409" s="149" t="s">
        <v>335</v>
      </c>
      <c r="B409" s="157" t="s">
        <v>334</v>
      </c>
      <c r="C409" s="156" t="s">
        <v>320</v>
      </c>
      <c r="D409" s="138"/>
      <c r="E409" s="151"/>
      <c r="F409" s="151"/>
      <c r="G409" s="150"/>
    </row>
    <row r="410" spans="1:7" s="2" customFormat="1" ht="51.75">
      <c r="A410" s="155" t="s">
        <v>333</v>
      </c>
      <c r="B410" s="78" t="s">
        <v>332</v>
      </c>
      <c r="C410" s="78" t="s">
        <v>313</v>
      </c>
      <c r="D410" s="138">
        <v>6867.5232800000003</v>
      </c>
      <c r="E410" s="154">
        <v>6867.5232800000003</v>
      </c>
      <c r="F410" s="151">
        <v>1388.7159999999999</v>
      </c>
      <c r="G410" s="150" t="s">
        <v>331</v>
      </c>
    </row>
    <row r="411" spans="1:7" s="2" customFormat="1" ht="51.75">
      <c r="A411" s="155" t="s">
        <v>330</v>
      </c>
      <c r="B411" s="78" t="s">
        <v>329</v>
      </c>
      <c r="C411" s="78" t="s">
        <v>313</v>
      </c>
      <c r="D411" s="138">
        <v>400</v>
      </c>
      <c r="E411" s="154">
        <v>400</v>
      </c>
      <c r="F411" s="151"/>
      <c r="G411" s="150"/>
    </row>
    <row r="412" spans="1:7" s="2" customFormat="1" ht="64.5">
      <c r="A412" s="149" t="s">
        <v>328</v>
      </c>
      <c r="B412" s="153" t="s">
        <v>327</v>
      </c>
      <c r="C412" s="152" t="s">
        <v>320</v>
      </c>
      <c r="D412" s="138">
        <v>3000</v>
      </c>
      <c r="E412" s="151"/>
      <c r="F412" s="151"/>
      <c r="G412" s="150"/>
    </row>
    <row r="413" spans="1:7" s="2" customFormat="1" ht="128.25">
      <c r="A413" s="149" t="s">
        <v>326</v>
      </c>
      <c r="B413" s="153" t="s">
        <v>325</v>
      </c>
      <c r="C413" s="152" t="s">
        <v>320</v>
      </c>
      <c r="D413" s="138">
        <v>3000</v>
      </c>
      <c r="E413" s="151"/>
      <c r="F413" s="151"/>
      <c r="G413" s="150"/>
    </row>
    <row r="414" spans="1:7" s="2" customFormat="1" ht="64.5">
      <c r="A414" s="149"/>
      <c r="B414" s="148" t="s">
        <v>324</v>
      </c>
      <c r="C414" s="147" t="s">
        <v>320</v>
      </c>
      <c r="D414" s="142">
        <v>500</v>
      </c>
      <c r="E414" s="142"/>
      <c r="F414" s="146"/>
      <c r="G414" s="145"/>
    </row>
    <row r="415" spans="1:7" s="2" customFormat="1" ht="102.75">
      <c r="A415" s="144"/>
      <c r="B415" s="143" t="s">
        <v>323</v>
      </c>
      <c r="C415" s="143" t="s">
        <v>313</v>
      </c>
      <c r="D415" s="142">
        <v>800</v>
      </c>
      <c r="E415" s="142">
        <v>310</v>
      </c>
      <c r="F415" s="141">
        <v>28.53</v>
      </c>
      <c r="G415" s="140" t="s">
        <v>322</v>
      </c>
    </row>
    <row r="416" spans="1:7" s="2" customFormat="1" ht="64.5">
      <c r="A416" s="139"/>
      <c r="B416" s="78" t="s">
        <v>321</v>
      </c>
      <c r="C416" s="78" t="s">
        <v>320</v>
      </c>
      <c r="D416" s="138">
        <v>520</v>
      </c>
      <c r="E416" s="138">
        <v>312</v>
      </c>
      <c r="F416" s="128">
        <v>156</v>
      </c>
      <c r="G416" s="130" t="s">
        <v>319</v>
      </c>
    </row>
    <row r="417" spans="1:1025">
      <c r="A417" s="137"/>
      <c r="B417" s="136" t="s">
        <v>1</v>
      </c>
      <c r="C417" s="135" t="s">
        <v>0</v>
      </c>
      <c r="D417" s="134">
        <f>SUM(D346:D416)</f>
        <v>61244.91908</v>
      </c>
      <c r="E417" s="134">
        <f>SUM(E346:E416)</f>
        <v>23278.007279999998</v>
      </c>
      <c r="F417" s="134">
        <f>SUM(F346:F416)</f>
        <v>11262.91152</v>
      </c>
      <c r="G417" s="133" t="s">
        <v>0</v>
      </c>
    </row>
    <row r="418" spans="1:1025" s="2" customFormat="1">
      <c r="A418" s="114" t="s">
        <v>318</v>
      </c>
      <c r="B418" s="114"/>
      <c r="C418" s="114"/>
      <c r="D418" s="114"/>
      <c r="E418" s="114"/>
      <c r="F418" s="114"/>
      <c r="G418" s="114"/>
    </row>
    <row r="419" spans="1:1025" s="2" customFormat="1">
      <c r="A419" s="119" t="s">
        <v>302</v>
      </c>
      <c r="B419" s="119" t="s">
        <v>302</v>
      </c>
      <c r="C419" s="119" t="s">
        <v>302</v>
      </c>
      <c r="D419" s="120" t="s">
        <v>302</v>
      </c>
      <c r="E419" s="120" t="s">
        <v>302</v>
      </c>
      <c r="F419" s="120" t="s">
        <v>302</v>
      </c>
      <c r="G419" s="119" t="s">
        <v>302</v>
      </c>
    </row>
    <row r="420" spans="1:1025" s="2" customFormat="1">
      <c r="A420" s="118"/>
      <c r="B420" s="117" t="s">
        <v>1</v>
      </c>
      <c r="C420" s="115" t="s">
        <v>0</v>
      </c>
      <c r="D420" s="116">
        <v>0</v>
      </c>
      <c r="E420" s="116">
        <v>0</v>
      </c>
      <c r="F420" s="116">
        <v>0</v>
      </c>
      <c r="G420" s="115" t="s">
        <v>0</v>
      </c>
    </row>
    <row r="421" spans="1:1025" s="2" customFormat="1">
      <c r="A421" s="114" t="s">
        <v>317</v>
      </c>
      <c r="B421" s="114"/>
      <c r="C421" s="114"/>
      <c r="D421" s="114"/>
      <c r="E421" s="114"/>
      <c r="F421" s="114"/>
      <c r="G421" s="114"/>
    </row>
    <row r="422" spans="1:1025" s="2" customFormat="1">
      <c r="A422" s="119" t="s">
        <v>302</v>
      </c>
      <c r="B422" s="119" t="s">
        <v>302</v>
      </c>
      <c r="C422" s="119" t="s">
        <v>302</v>
      </c>
      <c r="D422" s="120" t="s">
        <v>302</v>
      </c>
      <c r="E422" s="120" t="s">
        <v>302</v>
      </c>
      <c r="F422" s="120" t="s">
        <v>302</v>
      </c>
      <c r="G422" s="119" t="s">
        <v>302</v>
      </c>
    </row>
    <row r="423" spans="1:1025" s="2" customFormat="1">
      <c r="A423" s="118"/>
      <c r="B423" s="117" t="s">
        <v>1</v>
      </c>
      <c r="C423" s="115" t="s">
        <v>0</v>
      </c>
      <c r="D423" s="116">
        <v>0</v>
      </c>
      <c r="E423" s="116">
        <v>0</v>
      </c>
      <c r="F423" s="116">
        <v>0</v>
      </c>
      <c r="G423" s="115" t="s">
        <v>0</v>
      </c>
    </row>
    <row r="424" spans="1:1025" s="2" customFormat="1">
      <c r="A424" s="114" t="s">
        <v>316</v>
      </c>
      <c r="B424" s="114"/>
      <c r="C424" s="114"/>
      <c r="D424" s="114"/>
      <c r="E424" s="114"/>
      <c r="F424" s="114"/>
      <c r="G424" s="114"/>
    </row>
    <row r="425" spans="1:1025" customFormat="1" ht="39.75" customHeight="1">
      <c r="A425" s="132" t="s">
        <v>315</v>
      </c>
      <c r="B425" s="131" t="s">
        <v>314</v>
      </c>
      <c r="C425" s="130" t="s">
        <v>313</v>
      </c>
      <c r="D425" s="128">
        <v>540</v>
      </c>
      <c r="E425" s="128">
        <v>158.15700000000001</v>
      </c>
      <c r="F425" s="128">
        <v>158.08699999999999</v>
      </c>
      <c r="G425" s="85" t="s">
        <v>312</v>
      </c>
      <c r="H425" s="122"/>
      <c r="I425" s="122"/>
      <c r="J425" s="122"/>
      <c r="K425" s="122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21"/>
      <c r="AV425" s="121"/>
      <c r="AW425" s="121"/>
      <c r="AX425" s="121"/>
      <c r="AY425" s="121"/>
      <c r="AZ425" s="121"/>
      <c r="BA425" s="121"/>
      <c r="BB425" s="121"/>
      <c r="BC425" s="121"/>
      <c r="BD425" s="121"/>
      <c r="BE425" s="121"/>
      <c r="BF425" s="121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21"/>
      <c r="BS425" s="121"/>
      <c r="BT425" s="121"/>
      <c r="BU425" s="121"/>
      <c r="BV425" s="121"/>
      <c r="BW425" s="121"/>
      <c r="BX425" s="121"/>
      <c r="BY425" s="121"/>
      <c r="BZ425" s="121"/>
      <c r="CA425" s="121"/>
      <c r="CB425" s="121"/>
      <c r="CC425" s="121"/>
      <c r="CD425" s="121"/>
      <c r="CE425" s="121"/>
      <c r="CF425" s="121"/>
      <c r="CG425" s="121"/>
      <c r="CH425" s="121"/>
      <c r="CI425" s="121"/>
      <c r="CJ425" s="121"/>
      <c r="CK425" s="121"/>
      <c r="CL425" s="121"/>
      <c r="CM425" s="121"/>
      <c r="CN425" s="121"/>
      <c r="CO425" s="121"/>
      <c r="CP425" s="121"/>
      <c r="CQ425" s="121"/>
      <c r="CR425" s="121"/>
      <c r="CS425" s="121"/>
      <c r="CT425" s="121"/>
      <c r="CU425" s="121"/>
      <c r="CV425" s="121"/>
      <c r="CW425" s="121"/>
      <c r="CX425" s="121"/>
      <c r="CY425" s="121"/>
      <c r="CZ425" s="121"/>
      <c r="DA425" s="121"/>
      <c r="DB425" s="121"/>
      <c r="DC425" s="121"/>
      <c r="DD425" s="121"/>
      <c r="DE425" s="121"/>
      <c r="DF425" s="121"/>
      <c r="DG425" s="121"/>
      <c r="DH425" s="121"/>
      <c r="DI425" s="121"/>
      <c r="DJ425" s="121"/>
      <c r="DK425" s="121"/>
      <c r="DL425" s="121"/>
      <c r="DM425" s="121"/>
      <c r="DN425" s="121"/>
      <c r="DO425" s="121"/>
      <c r="DP425" s="121"/>
      <c r="DQ425" s="121"/>
      <c r="DR425" s="121"/>
      <c r="DS425" s="121"/>
      <c r="DT425" s="121"/>
      <c r="DU425" s="121"/>
      <c r="DV425" s="121"/>
      <c r="DW425" s="121"/>
      <c r="DX425" s="121"/>
      <c r="DY425" s="121"/>
      <c r="DZ425" s="121"/>
      <c r="EA425" s="121"/>
      <c r="EB425" s="121"/>
      <c r="EC425" s="121"/>
      <c r="ED425" s="121"/>
      <c r="EE425" s="121"/>
      <c r="EF425" s="121"/>
      <c r="EG425" s="121"/>
      <c r="EH425" s="121"/>
      <c r="EI425" s="121"/>
      <c r="EJ425" s="121"/>
      <c r="EK425" s="121"/>
      <c r="EL425" s="121"/>
      <c r="EM425" s="121"/>
      <c r="EN425" s="121"/>
      <c r="EO425" s="121"/>
      <c r="EP425" s="121"/>
      <c r="EQ425" s="121"/>
      <c r="ER425" s="121"/>
      <c r="ES425" s="121"/>
      <c r="ET425" s="121"/>
      <c r="EU425" s="121"/>
      <c r="EV425" s="121"/>
      <c r="EW425" s="121"/>
      <c r="EX425" s="121"/>
      <c r="EY425" s="121"/>
      <c r="EZ425" s="121"/>
      <c r="FA425" s="121"/>
      <c r="FB425" s="121"/>
      <c r="FC425" s="121"/>
      <c r="FD425" s="121"/>
      <c r="FE425" s="121"/>
      <c r="FF425" s="121"/>
      <c r="FG425" s="121"/>
      <c r="FH425" s="121"/>
      <c r="FI425" s="121"/>
      <c r="FJ425" s="121"/>
      <c r="FK425" s="121"/>
      <c r="FL425" s="121"/>
      <c r="FM425" s="121"/>
      <c r="FN425" s="121"/>
      <c r="FO425" s="121"/>
      <c r="FP425" s="121"/>
      <c r="FQ425" s="121"/>
      <c r="FR425" s="121"/>
      <c r="FS425" s="121"/>
      <c r="FT425" s="121"/>
      <c r="FU425" s="121"/>
      <c r="FV425" s="121"/>
      <c r="FW425" s="121"/>
      <c r="FX425" s="121"/>
      <c r="FY425" s="121"/>
      <c r="FZ425" s="121"/>
      <c r="GA425" s="121"/>
      <c r="GB425" s="121"/>
      <c r="GC425" s="121"/>
      <c r="GD425" s="121"/>
      <c r="GE425" s="121"/>
      <c r="GF425" s="121"/>
      <c r="GG425" s="121"/>
      <c r="GH425" s="121"/>
      <c r="GI425" s="121"/>
      <c r="GJ425" s="121"/>
      <c r="GK425" s="121"/>
      <c r="GL425" s="121"/>
      <c r="GM425" s="121"/>
      <c r="GN425" s="121"/>
      <c r="GO425" s="121"/>
      <c r="GP425" s="121"/>
      <c r="GQ425" s="121"/>
      <c r="GR425" s="121"/>
      <c r="GS425" s="121"/>
      <c r="GT425" s="121"/>
      <c r="GU425" s="121"/>
      <c r="GV425" s="121"/>
      <c r="GW425" s="121"/>
      <c r="GX425" s="121"/>
      <c r="GY425" s="121"/>
      <c r="GZ425" s="121"/>
      <c r="HA425" s="121"/>
      <c r="HB425" s="121"/>
      <c r="HC425" s="121"/>
      <c r="HD425" s="121"/>
      <c r="HE425" s="121"/>
      <c r="HF425" s="121"/>
      <c r="HG425" s="121"/>
      <c r="HH425" s="121"/>
      <c r="HI425" s="121"/>
      <c r="HJ425" s="121"/>
      <c r="HK425" s="121"/>
      <c r="HL425" s="121"/>
      <c r="HM425" s="121"/>
      <c r="HN425" s="121"/>
      <c r="HO425" s="121"/>
      <c r="HP425" s="121"/>
      <c r="HQ425" s="121"/>
      <c r="HR425" s="121"/>
      <c r="HS425" s="121"/>
      <c r="HT425" s="121"/>
      <c r="HU425" s="121"/>
      <c r="HV425" s="121"/>
      <c r="HW425" s="121"/>
      <c r="HX425" s="121"/>
      <c r="HY425" s="121"/>
      <c r="HZ425" s="121"/>
      <c r="IA425" s="121"/>
      <c r="IB425" s="121"/>
      <c r="IC425" s="121"/>
      <c r="ID425" s="121"/>
      <c r="IE425" s="121"/>
      <c r="IF425" s="121"/>
      <c r="IG425" s="121"/>
      <c r="IH425" s="121"/>
      <c r="II425" s="121"/>
      <c r="IJ425" s="121"/>
      <c r="IK425" s="121"/>
      <c r="IL425" s="121"/>
      <c r="IM425" s="121"/>
      <c r="IN425" s="121"/>
      <c r="IO425" s="121"/>
      <c r="IP425" s="121"/>
      <c r="IQ425" s="121"/>
      <c r="IR425" s="121"/>
      <c r="IS425" s="121"/>
      <c r="IT425" s="121"/>
      <c r="IU425" s="121"/>
      <c r="IV425" s="121"/>
      <c r="IW425" s="121"/>
      <c r="IX425" s="121"/>
      <c r="IY425" s="121"/>
      <c r="IZ425" s="121"/>
      <c r="JA425" s="121"/>
      <c r="JB425" s="121"/>
      <c r="JC425" s="121"/>
      <c r="JD425" s="121"/>
      <c r="JE425" s="121"/>
      <c r="JF425" s="121"/>
      <c r="JG425" s="121"/>
      <c r="JH425" s="121"/>
      <c r="JI425" s="121"/>
      <c r="JJ425" s="121"/>
      <c r="JK425" s="121"/>
      <c r="JL425" s="121"/>
      <c r="JM425" s="121"/>
      <c r="JN425" s="121"/>
      <c r="JO425" s="121"/>
      <c r="JP425" s="121"/>
      <c r="JQ425" s="121"/>
      <c r="JR425" s="121"/>
      <c r="JS425" s="121"/>
      <c r="JT425" s="121"/>
      <c r="JU425" s="121"/>
      <c r="JV425" s="121"/>
      <c r="JW425" s="121"/>
      <c r="JX425" s="121"/>
      <c r="JY425" s="121"/>
      <c r="JZ425" s="121"/>
      <c r="KA425" s="121"/>
      <c r="KB425" s="121"/>
      <c r="KC425" s="121"/>
      <c r="KD425" s="121"/>
      <c r="KE425" s="121"/>
      <c r="KF425" s="121"/>
      <c r="KG425" s="121"/>
      <c r="KH425" s="121"/>
      <c r="KI425" s="121"/>
      <c r="KJ425" s="121"/>
      <c r="KK425" s="121"/>
      <c r="KL425" s="121"/>
      <c r="KM425" s="121"/>
      <c r="KN425" s="121"/>
      <c r="KO425" s="121"/>
      <c r="KP425" s="121"/>
      <c r="KQ425" s="121"/>
      <c r="KR425" s="121"/>
      <c r="KS425" s="121"/>
      <c r="KT425" s="121"/>
      <c r="KU425" s="121"/>
      <c r="KV425" s="121"/>
      <c r="KW425" s="121"/>
      <c r="KX425" s="121"/>
      <c r="KY425" s="121"/>
      <c r="KZ425" s="121"/>
      <c r="LA425" s="121"/>
      <c r="LB425" s="121"/>
      <c r="LC425" s="121"/>
      <c r="LD425" s="121"/>
      <c r="LE425" s="121"/>
      <c r="LF425" s="121"/>
      <c r="LG425" s="121"/>
      <c r="LH425" s="121"/>
      <c r="LI425" s="121"/>
      <c r="LJ425" s="121"/>
      <c r="LK425" s="121"/>
      <c r="LL425" s="121"/>
      <c r="LM425" s="121"/>
      <c r="LN425" s="121"/>
      <c r="LO425" s="121"/>
      <c r="LP425" s="121"/>
      <c r="LQ425" s="121"/>
      <c r="LR425" s="121"/>
      <c r="LS425" s="121"/>
      <c r="LT425" s="121"/>
      <c r="LU425" s="121"/>
      <c r="LV425" s="121"/>
      <c r="LW425" s="121"/>
      <c r="LX425" s="121"/>
      <c r="LY425" s="121"/>
      <c r="LZ425" s="121"/>
      <c r="MA425" s="121"/>
      <c r="MB425" s="121"/>
      <c r="MC425" s="121"/>
      <c r="MD425" s="121"/>
      <c r="ME425" s="121"/>
      <c r="MF425" s="121"/>
      <c r="MG425" s="121"/>
      <c r="MH425" s="121"/>
      <c r="MI425" s="121"/>
      <c r="MJ425" s="121"/>
      <c r="MK425" s="121"/>
      <c r="ML425" s="121"/>
      <c r="MM425" s="121"/>
      <c r="MN425" s="121"/>
      <c r="MO425" s="121"/>
      <c r="MP425" s="121"/>
      <c r="MQ425" s="121"/>
      <c r="MR425" s="121"/>
      <c r="MS425" s="121"/>
      <c r="MT425" s="121"/>
      <c r="MU425" s="121"/>
      <c r="MV425" s="121"/>
      <c r="MW425" s="121"/>
      <c r="MX425" s="121"/>
      <c r="MY425" s="121"/>
      <c r="MZ425" s="121"/>
      <c r="NA425" s="121"/>
      <c r="NB425" s="121"/>
      <c r="NC425" s="121"/>
      <c r="ND425" s="121"/>
      <c r="NE425" s="121"/>
      <c r="NF425" s="121"/>
      <c r="NG425" s="121"/>
      <c r="NH425" s="121"/>
      <c r="NI425" s="121"/>
      <c r="NJ425" s="121"/>
      <c r="NK425" s="121"/>
      <c r="NL425" s="121"/>
      <c r="NM425" s="121"/>
      <c r="NN425" s="121"/>
      <c r="NO425" s="121"/>
      <c r="NP425" s="121"/>
      <c r="NQ425" s="121"/>
      <c r="NR425" s="121"/>
      <c r="NS425" s="121"/>
      <c r="NT425" s="121"/>
      <c r="NU425" s="121"/>
      <c r="NV425" s="121"/>
      <c r="NW425" s="121"/>
      <c r="NX425" s="121"/>
      <c r="NY425" s="121"/>
      <c r="NZ425" s="121"/>
      <c r="OA425" s="121"/>
      <c r="OB425" s="121"/>
      <c r="OC425" s="121"/>
      <c r="OD425" s="121"/>
      <c r="OE425" s="121"/>
      <c r="OF425" s="121"/>
      <c r="OG425" s="121"/>
      <c r="OH425" s="121"/>
      <c r="OI425" s="121"/>
      <c r="OJ425" s="121"/>
      <c r="OK425" s="121"/>
      <c r="OL425" s="121"/>
      <c r="OM425" s="121"/>
      <c r="ON425" s="121"/>
      <c r="OO425" s="121"/>
      <c r="OP425" s="121"/>
      <c r="OQ425" s="121"/>
      <c r="OR425" s="121"/>
      <c r="OS425" s="121"/>
      <c r="OT425" s="121"/>
      <c r="OU425" s="121"/>
      <c r="OV425" s="121"/>
      <c r="OW425" s="121"/>
      <c r="OX425" s="121"/>
      <c r="OY425" s="121"/>
      <c r="OZ425" s="121"/>
      <c r="PA425" s="121"/>
      <c r="PB425" s="121"/>
      <c r="PC425" s="121"/>
      <c r="PD425" s="121"/>
      <c r="PE425" s="121"/>
      <c r="PF425" s="121"/>
      <c r="PG425" s="121"/>
      <c r="PH425" s="121"/>
      <c r="PI425" s="121"/>
      <c r="PJ425" s="121"/>
      <c r="PK425" s="121"/>
      <c r="PL425" s="121"/>
      <c r="PM425" s="121"/>
      <c r="PN425" s="121"/>
      <c r="PO425" s="121"/>
      <c r="PP425" s="121"/>
      <c r="PQ425" s="121"/>
      <c r="PR425" s="121"/>
      <c r="PS425" s="121"/>
      <c r="PT425" s="121"/>
      <c r="PU425" s="121"/>
      <c r="PV425" s="121"/>
      <c r="PW425" s="121"/>
      <c r="PX425" s="121"/>
      <c r="PY425" s="121"/>
      <c r="PZ425" s="121"/>
      <c r="QA425" s="121"/>
      <c r="QB425" s="121"/>
      <c r="QC425" s="121"/>
      <c r="QD425" s="121"/>
      <c r="QE425" s="121"/>
      <c r="QF425" s="121"/>
      <c r="QG425" s="121"/>
      <c r="QH425" s="121"/>
      <c r="QI425" s="121"/>
      <c r="QJ425" s="121"/>
      <c r="QK425" s="121"/>
      <c r="QL425" s="121"/>
      <c r="QM425" s="121"/>
      <c r="QN425" s="121"/>
      <c r="QO425" s="121"/>
      <c r="QP425" s="121"/>
      <c r="QQ425" s="121"/>
      <c r="QR425" s="121"/>
      <c r="QS425" s="121"/>
      <c r="QT425" s="121"/>
      <c r="QU425" s="121"/>
      <c r="QV425" s="121"/>
      <c r="QW425" s="121"/>
      <c r="QX425" s="121"/>
      <c r="QY425" s="121"/>
      <c r="QZ425" s="121"/>
      <c r="RA425" s="121"/>
      <c r="RB425" s="121"/>
      <c r="RC425" s="121"/>
      <c r="RD425" s="121"/>
      <c r="RE425" s="121"/>
      <c r="RF425" s="121"/>
      <c r="RG425" s="121"/>
      <c r="RH425" s="121"/>
      <c r="RI425" s="121"/>
      <c r="RJ425" s="121"/>
      <c r="RK425" s="121"/>
      <c r="RL425" s="121"/>
      <c r="RM425" s="121"/>
      <c r="RN425" s="121"/>
      <c r="RO425" s="121"/>
      <c r="RP425" s="121"/>
      <c r="RQ425" s="121"/>
      <c r="RR425" s="121"/>
      <c r="RS425" s="121"/>
      <c r="RT425" s="121"/>
      <c r="RU425" s="121"/>
      <c r="RV425" s="121"/>
      <c r="RW425" s="121"/>
      <c r="RX425" s="121"/>
      <c r="RY425" s="121"/>
      <c r="RZ425" s="121"/>
      <c r="SA425" s="121"/>
      <c r="SB425" s="121"/>
      <c r="SC425" s="121"/>
      <c r="SD425" s="121"/>
      <c r="SE425" s="121"/>
      <c r="SF425" s="121"/>
      <c r="SG425" s="121"/>
      <c r="SH425" s="121"/>
      <c r="SI425" s="121"/>
      <c r="SJ425" s="121"/>
      <c r="SK425" s="121"/>
      <c r="SL425" s="121"/>
      <c r="SM425" s="121"/>
      <c r="SN425" s="121"/>
      <c r="SO425" s="121"/>
      <c r="SP425" s="121"/>
      <c r="SQ425" s="121"/>
      <c r="SR425" s="121"/>
      <c r="SS425" s="121"/>
      <c r="ST425" s="121"/>
      <c r="SU425" s="121"/>
      <c r="SV425" s="121"/>
      <c r="SW425" s="121"/>
      <c r="SX425" s="121"/>
      <c r="SY425" s="121"/>
      <c r="SZ425" s="121"/>
      <c r="TA425" s="121"/>
      <c r="TB425" s="121"/>
      <c r="TC425" s="121"/>
      <c r="TD425" s="121"/>
      <c r="TE425" s="121"/>
      <c r="TF425" s="121"/>
      <c r="TG425" s="121"/>
      <c r="TH425" s="121"/>
      <c r="TI425" s="121"/>
      <c r="TJ425" s="121"/>
      <c r="TK425" s="121"/>
      <c r="TL425" s="121"/>
      <c r="TM425" s="121"/>
      <c r="TN425" s="121"/>
      <c r="TO425" s="121"/>
      <c r="TP425" s="121"/>
      <c r="TQ425" s="121"/>
      <c r="TR425" s="121"/>
      <c r="TS425" s="121"/>
      <c r="TT425" s="121"/>
      <c r="TU425" s="121"/>
      <c r="TV425" s="121"/>
      <c r="TW425" s="121"/>
      <c r="TX425" s="121"/>
      <c r="TY425" s="121"/>
      <c r="TZ425" s="121"/>
      <c r="UA425" s="121"/>
      <c r="UB425" s="121"/>
      <c r="UC425" s="121"/>
      <c r="UD425" s="121"/>
      <c r="UE425" s="121"/>
      <c r="UF425" s="121"/>
      <c r="UG425" s="121"/>
      <c r="UH425" s="121"/>
      <c r="UI425" s="121"/>
      <c r="UJ425" s="121"/>
      <c r="UK425" s="121"/>
      <c r="UL425" s="121"/>
      <c r="UM425" s="121"/>
      <c r="UN425" s="121"/>
      <c r="UO425" s="121"/>
      <c r="UP425" s="121"/>
      <c r="UQ425" s="121"/>
      <c r="UR425" s="121"/>
      <c r="US425" s="121"/>
      <c r="UT425" s="121"/>
      <c r="UU425" s="121"/>
      <c r="UV425" s="121"/>
      <c r="UW425" s="121"/>
      <c r="UX425" s="121"/>
      <c r="UY425" s="121"/>
      <c r="UZ425" s="121"/>
      <c r="VA425" s="121"/>
      <c r="VB425" s="121"/>
      <c r="VC425" s="121"/>
      <c r="VD425" s="121"/>
      <c r="VE425" s="121"/>
      <c r="VF425" s="121"/>
      <c r="VG425" s="121"/>
      <c r="VH425" s="121"/>
      <c r="VI425" s="121"/>
      <c r="VJ425" s="121"/>
      <c r="VK425" s="121"/>
      <c r="VL425" s="121"/>
      <c r="VM425" s="121"/>
      <c r="VN425" s="121"/>
      <c r="VO425" s="121"/>
      <c r="VP425" s="121"/>
      <c r="VQ425" s="121"/>
      <c r="VR425" s="121"/>
      <c r="VS425" s="121"/>
      <c r="VT425" s="121"/>
      <c r="VU425" s="121"/>
      <c r="VV425" s="121"/>
      <c r="VW425" s="121"/>
      <c r="VX425" s="121"/>
      <c r="VY425" s="121"/>
      <c r="VZ425" s="121"/>
      <c r="WA425" s="121"/>
      <c r="WB425" s="121"/>
      <c r="WC425" s="121"/>
      <c r="WD425" s="121"/>
      <c r="WE425" s="121"/>
      <c r="WF425" s="121"/>
      <c r="WG425" s="121"/>
      <c r="WH425" s="121"/>
      <c r="WI425" s="121"/>
      <c r="WJ425" s="121"/>
      <c r="WK425" s="121"/>
      <c r="WL425" s="121"/>
      <c r="WM425" s="121"/>
      <c r="WN425" s="121"/>
      <c r="WO425" s="121"/>
      <c r="WP425" s="121"/>
      <c r="WQ425" s="121"/>
      <c r="WR425" s="121"/>
      <c r="WS425" s="121"/>
      <c r="WT425" s="121"/>
      <c r="WU425" s="121"/>
      <c r="WV425" s="121"/>
      <c r="WW425" s="121"/>
      <c r="WX425" s="121"/>
      <c r="WY425" s="121"/>
      <c r="WZ425" s="121"/>
      <c r="XA425" s="121"/>
      <c r="XB425" s="121"/>
      <c r="XC425" s="121"/>
      <c r="XD425" s="121"/>
      <c r="XE425" s="121"/>
      <c r="XF425" s="121"/>
      <c r="XG425" s="121"/>
      <c r="XH425" s="121"/>
      <c r="XI425" s="121"/>
      <c r="XJ425" s="121"/>
      <c r="XK425" s="121"/>
      <c r="XL425" s="121"/>
      <c r="XM425" s="121"/>
      <c r="XN425" s="121"/>
      <c r="XO425" s="121"/>
      <c r="XP425" s="121"/>
      <c r="XQ425" s="121"/>
      <c r="XR425" s="121"/>
      <c r="XS425" s="121"/>
      <c r="XT425" s="121"/>
      <c r="XU425" s="121"/>
      <c r="XV425" s="121"/>
      <c r="XW425" s="121"/>
      <c r="XX425" s="121"/>
      <c r="XY425" s="121"/>
      <c r="XZ425" s="121"/>
      <c r="YA425" s="121"/>
      <c r="YB425" s="121"/>
      <c r="YC425" s="121"/>
      <c r="YD425" s="121"/>
      <c r="YE425" s="121"/>
      <c r="YF425" s="121"/>
      <c r="YG425" s="121"/>
      <c r="YH425" s="121"/>
      <c r="YI425" s="121"/>
      <c r="YJ425" s="121"/>
      <c r="YK425" s="121"/>
      <c r="YL425" s="121"/>
      <c r="YM425" s="121"/>
      <c r="YN425" s="121"/>
      <c r="YO425" s="121"/>
      <c r="YP425" s="121"/>
      <c r="YQ425" s="121"/>
      <c r="YR425" s="121"/>
      <c r="YS425" s="121"/>
      <c r="YT425" s="121"/>
      <c r="YU425" s="121"/>
      <c r="YV425" s="121"/>
      <c r="YW425" s="121"/>
      <c r="YX425" s="121"/>
      <c r="YY425" s="121"/>
      <c r="YZ425" s="121"/>
      <c r="ZA425" s="121"/>
      <c r="ZB425" s="121"/>
      <c r="ZC425" s="121"/>
      <c r="ZD425" s="121"/>
      <c r="ZE425" s="121"/>
      <c r="ZF425" s="121"/>
      <c r="ZG425" s="121"/>
      <c r="ZH425" s="121"/>
      <c r="ZI425" s="121"/>
      <c r="ZJ425" s="121"/>
      <c r="ZK425" s="121"/>
      <c r="ZL425" s="121"/>
      <c r="ZM425" s="121"/>
      <c r="ZN425" s="121"/>
      <c r="ZO425" s="121"/>
      <c r="ZP425" s="121"/>
      <c r="ZQ425" s="121"/>
      <c r="ZR425" s="121"/>
      <c r="ZS425" s="121"/>
      <c r="ZT425" s="121"/>
      <c r="ZU425" s="121"/>
      <c r="ZV425" s="121"/>
      <c r="ZW425" s="121"/>
      <c r="ZX425" s="121"/>
      <c r="ZY425" s="121"/>
      <c r="ZZ425" s="121"/>
      <c r="AAA425" s="121"/>
      <c r="AAB425" s="121"/>
      <c r="AAC425" s="121"/>
      <c r="AAD425" s="121"/>
      <c r="AAE425" s="121"/>
      <c r="AAF425" s="121"/>
      <c r="AAG425" s="121"/>
      <c r="AAH425" s="121"/>
      <c r="AAI425" s="121"/>
      <c r="AAJ425" s="121"/>
      <c r="AAK425" s="121"/>
      <c r="AAL425" s="121"/>
      <c r="AAM425" s="121"/>
      <c r="AAN425" s="121"/>
      <c r="AAO425" s="121"/>
      <c r="AAP425" s="121"/>
      <c r="AAQ425" s="121"/>
      <c r="AAR425" s="121"/>
      <c r="AAS425" s="121"/>
      <c r="AAT425" s="121"/>
      <c r="AAU425" s="121"/>
      <c r="AAV425" s="121"/>
      <c r="AAW425" s="121"/>
      <c r="AAX425" s="121"/>
      <c r="AAY425" s="121"/>
      <c r="AAZ425" s="121"/>
      <c r="ABA425" s="121"/>
      <c r="ABB425" s="121"/>
      <c r="ABC425" s="121"/>
      <c r="ABD425" s="121"/>
      <c r="ABE425" s="121"/>
      <c r="ABF425" s="121"/>
      <c r="ABG425" s="121"/>
      <c r="ABH425" s="121"/>
      <c r="ABI425" s="121"/>
      <c r="ABJ425" s="121"/>
      <c r="ABK425" s="121"/>
      <c r="ABL425" s="121"/>
      <c r="ABM425" s="121"/>
      <c r="ABN425" s="121"/>
      <c r="ABO425" s="121"/>
      <c r="ABP425" s="121"/>
      <c r="ABQ425" s="121"/>
      <c r="ABR425" s="121"/>
      <c r="ABS425" s="121"/>
      <c r="ABT425" s="121"/>
      <c r="ABU425" s="121"/>
      <c r="ABV425" s="121"/>
      <c r="ABW425" s="121"/>
      <c r="ABX425" s="121"/>
      <c r="ABY425" s="121"/>
      <c r="ABZ425" s="121"/>
      <c r="ACA425" s="121"/>
      <c r="ACB425" s="121"/>
      <c r="ACC425" s="121"/>
      <c r="ACD425" s="121"/>
      <c r="ACE425" s="121"/>
      <c r="ACF425" s="121"/>
      <c r="ACG425" s="121"/>
      <c r="ACH425" s="121"/>
      <c r="ACI425" s="121"/>
      <c r="ACJ425" s="121"/>
      <c r="ACK425" s="121"/>
      <c r="ACL425" s="121"/>
      <c r="ACM425" s="121"/>
      <c r="ACN425" s="121"/>
      <c r="ACO425" s="121"/>
      <c r="ACP425" s="121"/>
      <c r="ACQ425" s="121"/>
      <c r="ACR425" s="121"/>
      <c r="ACS425" s="121"/>
      <c r="ACT425" s="121"/>
      <c r="ACU425" s="121"/>
      <c r="ACV425" s="121"/>
      <c r="ACW425" s="121"/>
      <c r="ACX425" s="121"/>
      <c r="ACY425" s="121"/>
      <c r="ACZ425" s="121"/>
      <c r="ADA425" s="121"/>
      <c r="ADB425" s="121"/>
      <c r="ADC425" s="121"/>
      <c r="ADD425" s="121"/>
      <c r="ADE425" s="121"/>
      <c r="ADF425" s="121"/>
      <c r="ADG425" s="121"/>
      <c r="ADH425" s="121"/>
      <c r="ADI425" s="121"/>
      <c r="ADJ425" s="121"/>
      <c r="ADK425" s="121"/>
      <c r="ADL425" s="121"/>
      <c r="ADM425" s="121"/>
      <c r="ADN425" s="121"/>
      <c r="ADO425" s="121"/>
      <c r="ADP425" s="121"/>
      <c r="ADQ425" s="121"/>
      <c r="ADR425" s="121"/>
      <c r="ADS425" s="121"/>
      <c r="ADT425" s="121"/>
      <c r="ADU425" s="121"/>
      <c r="ADV425" s="121"/>
      <c r="ADW425" s="121"/>
      <c r="ADX425" s="121"/>
      <c r="ADY425" s="121"/>
      <c r="ADZ425" s="121"/>
      <c r="AEA425" s="121"/>
      <c r="AEB425" s="121"/>
      <c r="AEC425" s="121"/>
      <c r="AED425" s="121"/>
      <c r="AEE425" s="121"/>
      <c r="AEF425" s="121"/>
      <c r="AEG425" s="121"/>
      <c r="AEH425" s="121"/>
      <c r="AEI425" s="121"/>
      <c r="AEJ425" s="121"/>
      <c r="AEK425" s="121"/>
      <c r="AEL425" s="121"/>
      <c r="AEM425" s="121"/>
      <c r="AEN425" s="121"/>
      <c r="AEO425" s="121"/>
      <c r="AEP425" s="121"/>
      <c r="AEQ425" s="121"/>
      <c r="AER425" s="121"/>
      <c r="AES425" s="121"/>
      <c r="AET425" s="121"/>
      <c r="AEU425" s="121"/>
      <c r="AEV425" s="121"/>
      <c r="AEW425" s="121"/>
      <c r="AEX425" s="121"/>
      <c r="AEY425" s="121"/>
      <c r="AEZ425" s="121"/>
      <c r="AFA425" s="121"/>
      <c r="AFB425" s="121"/>
      <c r="AFC425" s="121"/>
      <c r="AFD425" s="121"/>
      <c r="AFE425" s="121"/>
      <c r="AFF425" s="121"/>
      <c r="AFG425" s="121"/>
      <c r="AFH425" s="121"/>
      <c r="AFI425" s="121"/>
      <c r="AFJ425" s="121"/>
      <c r="AFK425" s="121"/>
      <c r="AFL425" s="121"/>
      <c r="AFM425" s="121"/>
      <c r="AFN425" s="121"/>
      <c r="AFO425" s="121"/>
      <c r="AFP425" s="121"/>
      <c r="AFQ425" s="121"/>
      <c r="AFR425" s="121"/>
      <c r="AFS425" s="121"/>
      <c r="AFT425" s="121"/>
      <c r="AFU425" s="121"/>
      <c r="AFV425" s="121"/>
      <c r="AFW425" s="121"/>
      <c r="AFX425" s="121"/>
      <c r="AFY425" s="121"/>
      <c r="AFZ425" s="121"/>
      <c r="AGA425" s="121"/>
      <c r="AGB425" s="121"/>
      <c r="AGC425" s="121"/>
      <c r="AGD425" s="121"/>
      <c r="AGE425" s="121"/>
      <c r="AGF425" s="121"/>
      <c r="AGG425" s="121"/>
      <c r="AGH425" s="121"/>
      <c r="AGI425" s="121"/>
      <c r="AGJ425" s="121"/>
      <c r="AGK425" s="121"/>
      <c r="AGL425" s="121"/>
      <c r="AGM425" s="121"/>
      <c r="AGN425" s="121"/>
      <c r="AGO425" s="121"/>
      <c r="AGP425" s="121"/>
      <c r="AGQ425" s="121"/>
      <c r="AGR425" s="121"/>
      <c r="AGS425" s="121"/>
      <c r="AGT425" s="121"/>
      <c r="AGU425" s="121"/>
      <c r="AGV425" s="121"/>
      <c r="AGW425" s="121"/>
      <c r="AGX425" s="121"/>
      <c r="AGY425" s="121"/>
      <c r="AGZ425" s="121"/>
      <c r="AHA425" s="121"/>
      <c r="AHB425" s="121"/>
      <c r="AHC425" s="121"/>
      <c r="AHD425" s="121"/>
      <c r="AHE425" s="121"/>
      <c r="AHF425" s="121"/>
      <c r="AHG425" s="121"/>
      <c r="AHH425" s="121"/>
      <c r="AHI425" s="121"/>
      <c r="AHJ425" s="121"/>
      <c r="AHK425" s="121"/>
      <c r="AHL425" s="121"/>
      <c r="AHM425" s="121"/>
      <c r="AHN425" s="121"/>
      <c r="AHO425" s="121"/>
      <c r="AHP425" s="121"/>
      <c r="AHQ425" s="121"/>
      <c r="AHR425" s="121"/>
      <c r="AHS425" s="121"/>
      <c r="AHT425" s="121"/>
      <c r="AHU425" s="121"/>
      <c r="AHV425" s="121"/>
      <c r="AHW425" s="121"/>
      <c r="AHX425" s="121"/>
      <c r="AHY425" s="121"/>
      <c r="AHZ425" s="121"/>
      <c r="AIA425" s="121"/>
      <c r="AIB425" s="121"/>
      <c r="AIC425" s="121"/>
      <c r="AID425" s="121"/>
      <c r="AIE425" s="121"/>
      <c r="AIF425" s="121"/>
      <c r="AIG425" s="121"/>
      <c r="AIH425" s="121"/>
      <c r="AII425" s="121"/>
      <c r="AIJ425" s="121"/>
      <c r="AIK425" s="121"/>
      <c r="AIL425" s="121"/>
      <c r="AIM425" s="121"/>
      <c r="AIN425" s="121"/>
      <c r="AIO425" s="121"/>
      <c r="AIP425" s="121"/>
      <c r="AIQ425" s="121"/>
      <c r="AIR425" s="121"/>
      <c r="AIS425" s="121"/>
      <c r="AIT425" s="121"/>
      <c r="AIU425" s="121"/>
      <c r="AIV425" s="121"/>
      <c r="AIW425" s="121"/>
      <c r="AIX425" s="121"/>
      <c r="AIY425" s="121"/>
      <c r="AIZ425" s="121"/>
      <c r="AJA425" s="121"/>
      <c r="AJB425" s="121"/>
      <c r="AJC425" s="121"/>
      <c r="AJD425" s="121"/>
      <c r="AJE425" s="121"/>
      <c r="AJF425" s="121"/>
      <c r="AJG425" s="121"/>
      <c r="AJH425" s="121"/>
      <c r="AJI425" s="121"/>
      <c r="AJJ425" s="121"/>
      <c r="AJK425" s="121"/>
      <c r="AJL425" s="121"/>
      <c r="AJM425" s="121"/>
      <c r="AJN425" s="121"/>
      <c r="AJO425" s="121"/>
      <c r="AJP425" s="121"/>
      <c r="AJQ425" s="121"/>
      <c r="AJR425" s="121"/>
      <c r="AJS425" s="121"/>
      <c r="AJT425" s="121"/>
      <c r="AJU425" s="121"/>
      <c r="AJV425" s="121"/>
      <c r="AJW425" s="121"/>
      <c r="AJX425" s="121"/>
      <c r="AJY425" s="121"/>
      <c r="AJZ425" s="121"/>
      <c r="AKA425" s="121"/>
      <c r="AKB425" s="121"/>
      <c r="AKC425" s="121"/>
      <c r="AKD425" s="121"/>
      <c r="AKE425" s="121"/>
      <c r="AKF425" s="121"/>
      <c r="AKG425" s="121"/>
      <c r="AKH425" s="121"/>
      <c r="AKI425" s="121"/>
      <c r="AKJ425" s="121"/>
      <c r="AKK425" s="121"/>
      <c r="AKL425" s="121"/>
      <c r="AKM425" s="121"/>
      <c r="AKN425" s="121"/>
      <c r="AKO425" s="121"/>
      <c r="AKP425" s="121"/>
      <c r="AKQ425" s="121"/>
      <c r="AKR425" s="121"/>
      <c r="AKS425" s="121"/>
      <c r="AKT425" s="121"/>
      <c r="AKU425" s="121"/>
      <c r="AKV425" s="121"/>
      <c r="AKW425" s="121"/>
      <c r="AKX425" s="121"/>
      <c r="AKY425" s="121"/>
      <c r="AKZ425" s="121"/>
      <c r="ALA425" s="121"/>
      <c r="ALB425" s="121"/>
      <c r="ALC425" s="121"/>
      <c r="ALD425" s="121"/>
      <c r="ALE425" s="121"/>
      <c r="ALF425" s="121"/>
      <c r="ALG425" s="121"/>
      <c r="ALH425" s="121"/>
      <c r="ALI425" s="121"/>
      <c r="ALJ425" s="121"/>
      <c r="ALK425" s="121"/>
      <c r="ALL425" s="121"/>
      <c r="ALM425" s="121"/>
      <c r="ALN425" s="121"/>
      <c r="ALO425" s="121"/>
      <c r="ALP425" s="121"/>
      <c r="ALQ425" s="121"/>
      <c r="ALR425" s="121"/>
      <c r="ALS425" s="121"/>
      <c r="ALT425" s="121"/>
      <c r="ALU425" s="121"/>
      <c r="ALV425" s="121"/>
      <c r="ALW425" s="121"/>
      <c r="ALX425" s="121"/>
      <c r="ALY425" s="121"/>
      <c r="ALZ425" s="121"/>
      <c r="AMA425" s="121"/>
      <c r="AMB425" s="121"/>
      <c r="AMC425" s="121"/>
      <c r="AMD425" s="121"/>
      <c r="AME425" s="121"/>
      <c r="AMF425" s="121"/>
      <c r="AMG425" s="121"/>
      <c r="AMH425" s="121"/>
      <c r="AMI425" s="121"/>
      <c r="AMJ425" s="121"/>
      <c r="AMK425" s="121"/>
    </row>
    <row r="426" spans="1:1025" customFormat="1" ht="39">
      <c r="A426" s="30" t="s">
        <v>311</v>
      </c>
      <c r="B426" s="129" t="s">
        <v>310</v>
      </c>
      <c r="C426" s="85" t="s">
        <v>309</v>
      </c>
      <c r="D426" s="128">
        <v>489</v>
      </c>
      <c r="E426" s="128">
        <v>489</v>
      </c>
      <c r="F426" s="128">
        <v>5.3550000000000004</v>
      </c>
      <c r="G426" s="127" t="s">
        <v>308</v>
      </c>
      <c r="H426" s="122"/>
      <c r="I426" s="122"/>
      <c r="J426" s="122"/>
      <c r="K426" s="122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21"/>
      <c r="AV426" s="121"/>
      <c r="AW426" s="121"/>
      <c r="AX426" s="121"/>
      <c r="AY426" s="121"/>
      <c r="AZ426" s="121"/>
      <c r="BA426" s="121"/>
      <c r="BB426" s="121"/>
      <c r="BC426" s="121"/>
      <c r="BD426" s="121"/>
      <c r="BE426" s="121"/>
      <c r="BF426" s="121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21"/>
      <c r="BS426" s="121"/>
      <c r="BT426" s="121"/>
      <c r="BU426" s="121"/>
      <c r="BV426" s="121"/>
      <c r="BW426" s="121"/>
      <c r="BX426" s="121"/>
      <c r="BY426" s="121"/>
      <c r="BZ426" s="121"/>
      <c r="CA426" s="121"/>
      <c r="CB426" s="121"/>
      <c r="CC426" s="121"/>
      <c r="CD426" s="121"/>
      <c r="CE426" s="121"/>
      <c r="CF426" s="121"/>
      <c r="CG426" s="121"/>
      <c r="CH426" s="121"/>
      <c r="CI426" s="121"/>
      <c r="CJ426" s="121"/>
      <c r="CK426" s="121"/>
      <c r="CL426" s="121"/>
      <c r="CM426" s="121"/>
      <c r="CN426" s="121"/>
      <c r="CO426" s="121"/>
      <c r="CP426" s="121"/>
      <c r="CQ426" s="121"/>
      <c r="CR426" s="121"/>
      <c r="CS426" s="121"/>
      <c r="CT426" s="121"/>
      <c r="CU426" s="121"/>
      <c r="CV426" s="121"/>
      <c r="CW426" s="121"/>
      <c r="CX426" s="121"/>
      <c r="CY426" s="121"/>
      <c r="CZ426" s="121"/>
      <c r="DA426" s="121"/>
      <c r="DB426" s="121"/>
      <c r="DC426" s="121"/>
      <c r="DD426" s="121"/>
      <c r="DE426" s="121"/>
      <c r="DF426" s="121"/>
      <c r="DG426" s="121"/>
      <c r="DH426" s="121"/>
      <c r="DI426" s="121"/>
      <c r="DJ426" s="121"/>
      <c r="DK426" s="121"/>
      <c r="DL426" s="121"/>
      <c r="DM426" s="121"/>
      <c r="DN426" s="121"/>
      <c r="DO426" s="121"/>
      <c r="DP426" s="121"/>
      <c r="DQ426" s="121"/>
      <c r="DR426" s="121"/>
      <c r="DS426" s="121"/>
      <c r="DT426" s="121"/>
      <c r="DU426" s="121"/>
      <c r="DV426" s="121"/>
      <c r="DW426" s="121"/>
      <c r="DX426" s="121"/>
      <c r="DY426" s="121"/>
      <c r="DZ426" s="121"/>
      <c r="EA426" s="121"/>
      <c r="EB426" s="121"/>
      <c r="EC426" s="121"/>
      <c r="ED426" s="121"/>
      <c r="EE426" s="121"/>
      <c r="EF426" s="121"/>
      <c r="EG426" s="121"/>
      <c r="EH426" s="121"/>
      <c r="EI426" s="121"/>
      <c r="EJ426" s="121"/>
      <c r="EK426" s="121"/>
      <c r="EL426" s="121"/>
      <c r="EM426" s="121"/>
      <c r="EN426" s="121"/>
      <c r="EO426" s="121"/>
      <c r="EP426" s="121"/>
      <c r="EQ426" s="121"/>
      <c r="ER426" s="121"/>
      <c r="ES426" s="121"/>
      <c r="ET426" s="121"/>
      <c r="EU426" s="121"/>
      <c r="EV426" s="121"/>
      <c r="EW426" s="121"/>
      <c r="EX426" s="121"/>
      <c r="EY426" s="121"/>
      <c r="EZ426" s="121"/>
      <c r="FA426" s="121"/>
      <c r="FB426" s="121"/>
      <c r="FC426" s="121"/>
      <c r="FD426" s="121"/>
      <c r="FE426" s="121"/>
      <c r="FF426" s="121"/>
      <c r="FG426" s="121"/>
      <c r="FH426" s="121"/>
      <c r="FI426" s="121"/>
      <c r="FJ426" s="121"/>
      <c r="FK426" s="121"/>
      <c r="FL426" s="121"/>
      <c r="FM426" s="121"/>
      <c r="FN426" s="121"/>
      <c r="FO426" s="121"/>
      <c r="FP426" s="121"/>
      <c r="FQ426" s="121"/>
      <c r="FR426" s="121"/>
      <c r="FS426" s="121"/>
      <c r="FT426" s="121"/>
      <c r="FU426" s="121"/>
      <c r="FV426" s="121"/>
      <c r="FW426" s="121"/>
      <c r="FX426" s="121"/>
      <c r="FY426" s="121"/>
      <c r="FZ426" s="121"/>
      <c r="GA426" s="121"/>
      <c r="GB426" s="121"/>
      <c r="GC426" s="121"/>
      <c r="GD426" s="121"/>
      <c r="GE426" s="121"/>
      <c r="GF426" s="121"/>
      <c r="GG426" s="121"/>
      <c r="GH426" s="121"/>
      <c r="GI426" s="121"/>
      <c r="GJ426" s="121"/>
      <c r="GK426" s="121"/>
      <c r="GL426" s="121"/>
      <c r="GM426" s="121"/>
      <c r="GN426" s="121"/>
      <c r="GO426" s="121"/>
      <c r="GP426" s="121"/>
      <c r="GQ426" s="121"/>
      <c r="GR426" s="121"/>
      <c r="GS426" s="121"/>
      <c r="GT426" s="121"/>
      <c r="GU426" s="121"/>
      <c r="GV426" s="121"/>
      <c r="GW426" s="121"/>
      <c r="GX426" s="121"/>
      <c r="GY426" s="121"/>
      <c r="GZ426" s="121"/>
      <c r="HA426" s="121"/>
      <c r="HB426" s="121"/>
      <c r="HC426" s="121"/>
      <c r="HD426" s="121"/>
      <c r="HE426" s="121"/>
      <c r="HF426" s="121"/>
      <c r="HG426" s="121"/>
      <c r="HH426" s="121"/>
      <c r="HI426" s="121"/>
      <c r="HJ426" s="121"/>
      <c r="HK426" s="121"/>
      <c r="HL426" s="121"/>
      <c r="HM426" s="121"/>
      <c r="HN426" s="121"/>
      <c r="HO426" s="121"/>
      <c r="HP426" s="121"/>
      <c r="HQ426" s="121"/>
      <c r="HR426" s="121"/>
      <c r="HS426" s="121"/>
      <c r="HT426" s="121"/>
      <c r="HU426" s="121"/>
      <c r="HV426" s="121"/>
      <c r="HW426" s="121"/>
      <c r="HX426" s="121"/>
      <c r="HY426" s="121"/>
      <c r="HZ426" s="121"/>
      <c r="IA426" s="121"/>
      <c r="IB426" s="121"/>
      <c r="IC426" s="121"/>
      <c r="ID426" s="121"/>
      <c r="IE426" s="121"/>
      <c r="IF426" s="121"/>
      <c r="IG426" s="121"/>
      <c r="IH426" s="121"/>
      <c r="II426" s="121"/>
      <c r="IJ426" s="121"/>
      <c r="IK426" s="121"/>
      <c r="IL426" s="121"/>
      <c r="IM426" s="121"/>
      <c r="IN426" s="121"/>
      <c r="IO426" s="121"/>
      <c r="IP426" s="121"/>
      <c r="IQ426" s="121"/>
      <c r="IR426" s="121"/>
      <c r="IS426" s="121"/>
      <c r="IT426" s="121"/>
      <c r="IU426" s="121"/>
      <c r="IV426" s="121"/>
      <c r="IW426" s="121"/>
      <c r="IX426" s="121"/>
      <c r="IY426" s="121"/>
      <c r="IZ426" s="121"/>
      <c r="JA426" s="121"/>
      <c r="JB426" s="121"/>
      <c r="JC426" s="121"/>
      <c r="JD426" s="121"/>
      <c r="JE426" s="121"/>
      <c r="JF426" s="121"/>
      <c r="JG426" s="121"/>
      <c r="JH426" s="121"/>
      <c r="JI426" s="121"/>
      <c r="JJ426" s="121"/>
      <c r="JK426" s="121"/>
      <c r="JL426" s="121"/>
      <c r="JM426" s="121"/>
      <c r="JN426" s="121"/>
      <c r="JO426" s="121"/>
      <c r="JP426" s="121"/>
      <c r="JQ426" s="121"/>
      <c r="JR426" s="121"/>
      <c r="JS426" s="121"/>
      <c r="JT426" s="121"/>
      <c r="JU426" s="121"/>
      <c r="JV426" s="121"/>
      <c r="JW426" s="121"/>
      <c r="JX426" s="121"/>
      <c r="JY426" s="121"/>
      <c r="JZ426" s="121"/>
      <c r="KA426" s="121"/>
      <c r="KB426" s="121"/>
      <c r="KC426" s="121"/>
      <c r="KD426" s="121"/>
      <c r="KE426" s="121"/>
      <c r="KF426" s="121"/>
      <c r="KG426" s="121"/>
      <c r="KH426" s="121"/>
      <c r="KI426" s="121"/>
      <c r="KJ426" s="121"/>
      <c r="KK426" s="121"/>
      <c r="KL426" s="121"/>
      <c r="KM426" s="121"/>
      <c r="KN426" s="121"/>
      <c r="KO426" s="121"/>
      <c r="KP426" s="121"/>
      <c r="KQ426" s="121"/>
      <c r="KR426" s="121"/>
      <c r="KS426" s="121"/>
      <c r="KT426" s="121"/>
      <c r="KU426" s="121"/>
      <c r="KV426" s="121"/>
      <c r="KW426" s="121"/>
      <c r="KX426" s="121"/>
      <c r="KY426" s="121"/>
      <c r="KZ426" s="121"/>
      <c r="LA426" s="121"/>
      <c r="LB426" s="121"/>
      <c r="LC426" s="121"/>
      <c r="LD426" s="121"/>
      <c r="LE426" s="121"/>
      <c r="LF426" s="121"/>
      <c r="LG426" s="121"/>
      <c r="LH426" s="121"/>
      <c r="LI426" s="121"/>
      <c r="LJ426" s="121"/>
      <c r="LK426" s="121"/>
      <c r="LL426" s="121"/>
      <c r="LM426" s="121"/>
      <c r="LN426" s="121"/>
      <c r="LO426" s="121"/>
      <c r="LP426" s="121"/>
      <c r="LQ426" s="121"/>
      <c r="LR426" s="121"/>
      <c r="LS426" s="121"/>
      <c r="LT426" s="121"/>
      <c r="LU426" s="121"/>
      <c r="LV426" s="121"/>
      <c r="LW426" s="121"/>
      <c r="LX426" s="121"/>
      <c r="LY426" s="121"/>
      <c r="LZ426" s="121"/>
      <c r="MA426" s="121"/>
      <c r="MB426" s="121"/>
      <c r="MC426" s="121"/>
      <c r="MD426" s="121"/>
      <c r="ME426" s="121"/>
      <c r="MF426" s="121"/>
      <c r="MG426" s="121"/>
      <c r="MH426" s="121"/>
      <c r="MI426" s="121"/>
      <c r="MJ426" s="121"/>
      <c r="MK426" s="121"/>
      <c r="ML426" s="121"/>
      <c r="MM426" s="121"/>
      <c r="MN426" s="121"/>
      <c r="MO426" s="121"/>
      <c r="MP426" s="121"/>
      <c r="MQ426" s="121"/>
      <c r="MR426" s="121"/>
      <c r="MS426" s="121"/>
      <c r="MT426" s="121"/>
      <c r="MU426" s="121"/>
      <c r="MV426" s="121"/>
      <c r="MW426" s="121"/>
      <c r="MX426" s="121"/>
      <c r="MY426" s="121"/>
      <c r="MZ426" s="121"/>
      <c r="NA426" s="121"/>
      <c r="NB426" s="121"/>
      <c r="NC426" s="121"/>
      <c r="ND426" s="121"/>
      <c r="NE426" s="121"/>
      <c r="NF426" s="121"/>
      <c r="NG426" s="121"/>
      <c r="NH426" s="121"/>
      <c r="NI426" s="121"/>
      <c r="NJ426" s="121"/>
      <c r="NK426" s="121"/>
      <c r="NL426" s="121"/>
      <c r="NM426" s="121"/>
      <c r="NN426" s="121"/>
      <c r="NO426" s="121"/>
      <c r="NP426" s="121"/>
      <c r="NQ426" s="121"/>
      <c r="NR426" s="121"/>
      <c r="NS426" s="121"/>
      <c r="NT426" s="121"/>
      <c r="NU426" s="121"/>
      <c r="NV426" s="121"/>
      <c r="NW426" s="121"/>
      <c r="NX426" s="121"/>
      <c r="NY426" s="121"/>
      <c r="NZ426" s="121"/>
      <c r="OA426" s="121"/>
      <c r="OB426" s="121"/>
      <c r="OC426" s="121"/>
      <c r="OD426" s="121"/>
      <c r="OE426" s="121"/>
      <c r="OF426" s="121"/>
      <c r="OG426" s="121"/>
      <c r="OH426" s="121"/>
      <c r="OI426" s="121"/>
      <c r="OJ426" s="121"/>
      <c r="OK426" s="121"/>
      <c r="OL426" s="121"/>
      <c r="OM426" s="121"/>
      <c r="ON426" s="121"/>
      <c r="OO426" s="121"/>
      <c r="OP426" s="121"/>
      <c r="OQ426" s="121"/>
      <c r="OR426" s="121"/>
      <c r="OS426" s="121"/>
      <c r="OT426" s="121"/>
      <c r="OU426" s="121"/>
      <c r="OV426" s="121"/>
      <c r="OW426" s="121"/>
      <c r="OX426" s="121"/>
      <c r="OY426" s="121"/>
      <c r="OZ426" s="121"/>
      <c r="PA426" s="121"/>
      <c r="PB426" s="121"/>
      <c r="PC426" s="121"/>
      <c r="PD426" s="121"/>
      <c r="PE426" s="121"/>
      <c r="PF426" s="121"/>
      <c r="PG426" s="121"/>
      <c r="PH426" s="121"/>
      <c r="PI426" s="121"/>
      <c r="PJ426" s="121"/>
      <c r="PK426" s="121"/>
      <c r="PL426" s="121"/>
      <c r="PM426" s="121"/>
      <c r="PN426" s="121"/>
      <c r="PO426" s="121"/>
      <c r="PP426" s="121"/>
      <c r="PQ426" s="121"/>
      <c r="PR426" s="121"/>
      <c r="PS426" s="121"/>
      <c r="PT426" s="121"/>
      <c r="PU426" s="121"/>
      <c r="PV426" s="121"/>
      <c r="PW426" s="121"/>
      <c r="PX426" s="121"/>
      <c r="PY426" s="121"/>
      <c r="PZ426" s="121"/>
      <c r="QA426" s="121"/>
      <c r="QB426" s="121"/>
      <c r="QC426" s="121"/>
      <c r="QD426" s="121"/>
      <c r="QE426" s="121"/>
      <c r="QF426" s="121"/>
      <c r="QG426" s="121"/>
      <c r="QH426" s="121"/>
      <c r="QI426" s="121"/>
      <c r="QJ426" s="121"/>
      <c r="QK426" s="121"/>
      <c r="QL426" s="121"/>
      <c r="QM426" s="121"/>
      <c r="QN426" s="121"/>
      <c r="QO426" s="121"/>
      <c r="QP426" s="121"/>
      <c r="QQ426" s="121"/>
      <c r="QR426" s="121"/>
      <c r="QS426" s="121"/>
      <c r="QT426" s="121"/>
      <c r="QU426" s="121"/>
      <c r="QV426" s="121"/>
      <c r="QW426" s="121"/>
      <c r="QX426" s="121"/>
      <c r="QY426" s="121"/>
      <c r="QZ426" s="121"/>
      <c r="RA426" s="121"/>
      <c r="RB426" s="121"/>
      <c r="RC426" s="121"/>
      <c r="RD426" s="121"/>
      <c r="RE426" s="121"/>
      <c r="RF426" s="121"/>
      <c r="RG426" s="121"/>
      <c r="RH426" s="121"/>
      <c r="RI426" s="121"/>
      <c r="RJ426" s="121"/>
      <c r="RK426" s="121"/>
      <c r="RL426" s="121"/>
      <c r="RM426" s="121"/>
      <c r="RN426" s="121"/>
      <c r="RO426" s="121"/>
      <c r="RP426" s="121"/>
      <c r="RQ426" s="121"/>
      <c r="RR426" s="121"/>
      <c r="RS426" s="121"/>
      <c r="RT426" s="121"/>
      <c r="RU426" s="121"/>
      <c r="RV426" s="121"/>
      <c r="RW426" s="121"/>
      <c r="RX426" s="121"/>
      <c r="RY426" s="121"/>
      <c r="RZ426" s="121"/>
      <c r="SA426" s="121"/>
      <c r="SB426" s="121"/>
      <c r="SC426" s="121"/>
      <c r="SD426" s="121"/>
      <c r="SE426" s="121"/>
      <c r="SF426" s="121"/>
      <c r="SG426" s="121"/>
      <c r="SH426" s="121"/>
      <c r="SI426" s="121"/>
      <c r="SJ426" s="121"/>
      <c r="SK426" s="121"/>
      <c r="SL426" s="121"/>
      <c r="SM426" s="121"/>
      <c r="SN426" s="121"/>
      <c r="SO426" s="121"/>
      <c r="SP426" s="121"/>
      <c r="SQ426" s="121"/>
      <c r="SR426" s="121"/>
      <c r="SS426" s="121"/>
      <c r="ST426" s="121"/>
      <c r="SU426" s="121"/>
      <c r="SV426" s="121"/>
      <c r="SW426" s="121"/>
      <c r="SX426" s="121"/>
      <c r="SY426" s="121"/>
      <c r="SZ426" s="121"/>
      <c r="TA426" s="121"/>
      <c r="TB426" s="121"/>
      <c r="TC426" s="121"/>
      <c r="TD426" s="121"/>
      <c r="TE426" s="121"/>
      <c r="TF426" s="121"/>
      <c r="TG426" s="121"/>
      <c r="TH426" s="121"/>
      <c r="TI426" s="121"/>
      <c r="TJ426" s="121"/>
      <c r="TK426" s="121"/>
      <c r="TL426" s="121"/>
      <c r="TM426" s="121"/>
      <c r="TN426" s="121"/>
      <c r="TO426" s="121"/>
      <c r="TP426" s="121"/>
      <c r="TQ426" s="121"/>
      <c r="TR426" s="121"/>
      <c r="TS426" s="121"/>
      <c r="TT426" s="121"/>
      <c r="TU426" s="121"/>
      <c r="TV426" s="121"/>
      <c r="TW426" s="121"/>
      <c r="TX426" s="121"/>
      <c r="TY426" s="121"/>
      <c r="TZ426" s="121"/>
      <c r="UA426" s="121"/>
      <c r="UB426" s="121"/>
      <c r="UC426" s="121"/>
      <c r="UD426" s="121"/>
      <c r="UE426" s="121"/>
      <c r="UF426" s="121"/>
      <c r="UG426" s="121"/>
      <c r="UH426" s="121"/>
      <c r="UI426" s="121"/>
      <c r="UJ426" s="121"/>
      <c r="UK426" s="121"/>
      <c r="UL426" s="121"/>
      <c r="UM426" s="121"/>
      <c r="UN426" s="121"/>
      <c r="UO426" s="121"/>
      <c r="UP426" s="121"/>
      <c r="UQ426" s="121"/>
      <c r="UR426" s="121"/>
      <c r="US426" s="121"/>
      <c r="UT426" s="121"/>
      <c r="UU426" s="121"/>
      <c r="UV426" s="121"/>
      <c r="UW426" s="121"/>
      <c r="UX426" s="121"/>
      <c r="UY426" s="121"/>
      <c r="UZ426" s="121"/>
      <c r="VA426" s="121"/>
      <c r="VB426" s="121"/>
      <c r="VC426" s="121"/>
      <c r="VD426" s="121"/>
      <c r="VE426" s="121"/>
      <c r="VF426" s="121"/>
      <c r="VG426" s="121"/>
      <c r="VH426" s="121"/>
      <c r="VI426" s="121"/>
      <c r="VJ426" s="121"/>
      <c r="VK426" s="121"/>
      <c r="VL426" s="121"/>
      <c r="VM426" s="121"/>
      <c r="VN426" s="121"/>
      <c r="VO426" s="121"/>
      <c r="VP426" s="121"/>
      <c r="VQ426" s="121"/>
      <c r="VR426" s="121"/>
      <c r="VS426" s="121"/>
      <c r="VT426" s="121"/>
      <c r="VU426" s="121"/>
      <c r="VV426" s="121"/>
      <c r="VW426" s="121"/>
      <c r="VX426" s="121"/>
      <c r="VY426" s="121"/>
      <c r="VZ426" s="121"/>
      <c r="WA426" s="121"/>
      <c r="WB426" s="121"/>
      <c r="WC426" s="121"/>
      <c r="WD426" s="121"/>
      <c r="WE426" s="121"/>
      <c r="WF426" s="121"/>
      <c r="WG426" s="121"/>
      <c r="WH426" s="121"/>
      <c r="WI426" s="121"/>
      <c r="WJ426" s="121"/>
      <c r="WK426" s="121"/>
      <c r="WL426" s="121"/>
      <c r="WM426" s="121"/>
      <c r="WN426" s="121"/>
      <c r="WO426" s="121"/>
      <c r="WP426" s="121"/>
      <c r="WQ426" s="121"/>
      <c r="WR426" s="121"/>
      <c r="WS426" s="121"/>
      <c r="WT426" s="121"/>
      <c r="WU426" s="121"/>
      <c r="WV426" s="121"/>
      <c r="WW426" s="121"/>
      <c r="WX426" s="121"/>
      <c r="WY426" s="121"/>
      <c r="WZ426" s="121"/>
      <c r="XA426" s="121"/>
      <c r="XB426" s="121"/>
      <c r="XC426" s="121"/>
      <c r="XD426" s="121"/>
      <c r="XE426" s="121"/>
      <c r="XF426" s="121"/>
      <c r="XG426" s="121"/>
      <c r="XH426" s="121"/>
      <c r="XI426" s="121"/>
      <c r="XJ426" s="121"/>
      <c r="XK426" s="121"/>
      <c r="XL426" s="121"/>
      <c r="XM426" s="121"/>
      <c r="XN426" s="121"/>
      <c r="XO426" s="121"/>
      <c r="XP426" s="121"/>
      <c r="XQ426" s="121"/>
      <c r="XR426" s="121"/>
      <c r="XS426" s="121"/>
      <c r="XT426" s="121"/>
      <c r="XU426" s="121"/>
      <c r="XV426" s="121"/>
      <c r="XW426" s="121"/>
      <c r="XX426" s="121"/>
      <c r="XY426" s="121"/>
      <c r="XZ426" s="121"/>
      <c r="YA426" s="121"/>
      <c r="YB426" s="121"/>
      <c r="YC426" s="121"/>
      <c r="YD426" s="121"/>
      <c r="YE426" s="121"/>
      <c r="YF426" s="121"/>
      <c r="YG426" s="121"/>
      <c r="YH426" s="121"/>
      <c r="YI426" s="121"/>
      <c r="YJ426" s="121"/>
      <c r="YK426" s="121"/>
      <c r="YL426" s="121"/>
      <c r="YM426" s="121"/>
      <c r="YN426" s="121"/>
      <c r="YO426" s="121"/>
      <c r="YP426" s="121"/>
      <c r="YQ426" s="121"/>
      <c r="YR426" s="121"/>
      <c r="YS426" s="121"/>
      <c r="YT426" s="121"/>
      <c r="YU426" s="121"/>
      <c r="YV426" s="121"/>
      <c r="YW426" s="121"/>
      <c r="YX426" s="121"/>
      <c r="YY426" s="121"/>
      <c r="YZ426" s="121"/>
      <c r="ZA426" s="121"/>
      <c r="ZB426" s="121"/>
      <c r="ZC426" s="121"/>
      <c r="ZD426" s="121"/>
      <c r="ZE426" s="121"/>
      <c r="ZF426" s="121"/>
      <c r="ZG426" s="121"/>
      <c r="ZH426" s="121"/>
      <c r="ZI426" s="121"/>
      <c r="ZJ426" s="121"/>
      <c r="ZK426" s="121"/>
      <c r="ZL426" s="121"/>
      <c r="ZM426" s="121"/>
      <c r="ZN426" s="121"/>
      <c r="ZO426" s="121"/>
      <c r="ZP426" s="121"/>
      <c r="ZQ426" s="121"/>
      <c r="ZR426" s="121"/>
      <c r="ZS426" s="121"/>
      <c r="ZT426" s="121"/>
      <c r="ZU426" s="121"/>
      <c r="ZV426" s="121"/>
      <c r="ZW426" s="121"/>
      <c r="ZX426" s="121"/>
      <c r="ZY426" s="121"/>
      <c r="ZZ426" s="121"/>
      <c r="AAA426" s="121"/>
      <c r="AAB426" s="121"/>
      <c r="AAC426" s="121"/>
      <c r="AAD426" s="121"/>
      <c r="AAE426" s="121"/>
      <c r="AAF426" s="121"/>
      <c r="AAG426" s="121"/>
      <c r="AAH426" s="121"/>
      <c r="AAI426" s="121"/>
      <c r="AAJ426" s="121"/>
      <c r="AAK426" s="121"/>
      <c r="AAL426" s="121"/>
      <c r="AAM426" s="121"/>
      <c r="AAN426" s="121"/>
      <c r="AAO426" s="121"/>
      <c r="AAP426" s="121"/>
      <c r="AAQ426" s="121"/>
      <c r="AAR426" s="121"/>
      <c r="AAS426" s="121"/>
      <c r="AAT426" s="121"/>
      <c r="AAU426" s="121"/>
      <c r="AAV426" s="121"/>
      <c r="AAW426" s="121"/>
      <c r="AAX426" s="121"/>
      <c r="AAY426" s="121"/>
      <c r="AAZ426" s="121"/>
      <c r="ABA426" s="121"/>
      <c r="ABB426" s="121"/>
      <c r="ABC426" s="121"/>
      <c r="ABD426" s="121"/>
      <c r="ABE426" s="121"/>
      <c r="ABF426" s="121"/>
      <c r="ABG426" s="121"/>
      <c r="ABH426" s="121"/>
      <c r="ABI426" s="121"/>
      <c r="ABJ426" s="121"/>
      <c r="ABK426" s="121"/>
      <c r="ABL426" s="121"/>
      <c r="ABM426" s="121"/>
      <c r="ABN426" s="121"/>
      <c r="ABO426" s="121"/>
      <c r="ABP426" s="121"/>
      <c r="ABQ426" s="121"/>
      <c r="ABR426" s="121"/>
      <c r="ABS426" s="121"/>
      <c r="ABT426" s="121"/>
      <c r="ABU426" s="121"/>
      <c r="ABV426" s="121"/>
      <c r="ABW426" s="121"/>
      <c r="ABX426" s="121"/>
      <c r="ABY426" s="121"/>
      <c r="ABZ426" s="121"/>
      <c r="ACA426" s="121"/>
      <c r="ACB426" s="121"/>
      <c r="ACC426" s="121"/>
      <c r="ACD426" s="121"/>
      <c r="ACE426" s="121"/>
      <c r="ACF426" s="121"/>
      <c r="ACG426" s="121"/>
      <c r="ACH426" s="121"/>
      <c r="ACI426" s="121"/>
      <c r="ACJ426" s="121"/>
      <c r="ACK426" s="121"/>
      <c r="ACL426" s="121"/>
      <c r="ACM426" s="121"/>
      <c r="ACN426" s="121"/>
      <c r="ACO426" s="121"/>
      <c r="ACP426" s="121"/>
      <c r="ACQ426" s="121"/>
      <c r="ACR426" s="121"/>
      <c r="ACS426" s="121"/>
      <c r="ACT426" s="121"/>
      <c r="ACU426" s="121"/>
      <c r="ACV426" s="121"/>
      <c r="ACW426" s="121"/>
      <c r="ACX426" s="121"/>
      <c r="ACY426" s="121"/>
      <c r="ACZ426" s="121"/>
      <c r="ADA426" s="121"/>
      <c r="ADB426" s="121"/>
      <c r="ADC426" s="121"/>
      <c r="ADD426" s="121"/>
      <c r="ADE426" s="121"/>
      <c r="ADF426" s="121"/>
      <c r="ADG426" s="121"/>
      <c r="ADH426" s="121"/>
      <c r="ADI426" s="121"/>
      <c r="ADJ426" s="121"/>
      <c r="ADK426" s="121"/>
      <c r="ADL426" s="121"/>
      <c r="ADM426" s="121"/>
      <c r="ADN426" s="121"/>
      <c r="ADO426" s="121"/>
      <c r="ADP426" s="121"/>
      <c r="ADQ426" s="121"/>
      <c r="ADR426" s="121"/>
      <c r="ADS426" s="121"/>
      <c r="ADT426" s="121"/>
      <c r="ADU426" s="121"/>
      <c r="ADV426" s="121"/>
      <c r="ADW426" s="121"/>
      <c r="ADX426" s="121"/>
      <c r="ADY426" s="121"/>
      <c r="ADZ426" s="121"/>
      <c r="AEA426" s="121"/>
      <c r="AEB426" s="121"/>
      <c r="AEC426" s="121"/>
      <c r="AED426" s="121"/>
      <c r="AEE426" s="121"/>
      <c r="AEF426" s="121"/>
      <c r="AEG426" s="121"/>
      <c r="AEH426" s="121"/>
      <c r="AEI426" s="121"/>
      <c r="AEJ426" s="121"/>
      <c r="AEK426" s="121"/>
      <c r="AEL426" s="121"/>
      <c r="AEM426" s="121"/>
      <c r="AEN426" s="121"/>
      <c r="AEO426" s="121"/>
      <c r="AEP426" s="121"/>
      <c r="AEQ426" s="121"/>
      <c r="AER426" s="121"/>
      <c r="AES426" s="121"/>
      <c r="AET426" s="121"/>
      <c r="AEU426" s="121"/>
      <c r="AEV426" s="121"/>
      <c r="AEW426" s="121"/>
      <c r="AEX426" s="121"/>
      <c r="AEY426" s="121"/>
      <c r="AEZ426" s="121"/>
      <c r="AFA426" s="121"/>
      <c r="AFB426" s="121"/>
      <c r="AFC426" s="121"/>
      <c r="AFD426" s="121"/>
      <c r="AFE426" s="121"/>
      <c r="AFF426" s="121"/>
      <c r="AFG426" s="121"/>
      <c r="AFH426" s="121"/>
      <c r="AFI426" s="121"/>
      <c r="AFJ426" s="121"/>
      <c r="AFK426" s="121"/>
      <c r="AFL426" s="121"/>
      <c r="AFM426" s="121"/>
      <c r="AFN426" s="121"/>
      <c r="AFO426" s="121"/>
      <c r="AFP426" s="121"/>
      <c r="AFQ426" s="121"/>
      <c r="AFR426" s="121"/>
      <c r="AFS426" s="121"/>
      <c r="AFT426" s="121"/>
      <c r="AFU426" s="121"/>
      <c r="AFV426" s="121"/>
      <c r="AFW426" s="121"/>
      <c r="AFX426" s="121"/>
      <c r="AFY426" s="121"/>
      <c r="AFZ426" s="121"/>
      <c r="AGA426" s="121"/>
      <c r="AGB426" s="121"/>
      <c r="AGC426" s="121"/>
      <c r="AGD426" s="121"/>
      <c r="AGE426" s="121"/>
      <c r="AGF426" s="121"/>
      <c r="AGG426" s="121"/>
      <c r="AGH426" s="121"/>
      <c r="AGI426" s="121"/>
      <c r="AGJ426" s="121"/>
      <c r="AGK426" s="121"/>
      <c r="AGL426" s="121"/>
      <c r="AGM426" s="121"/>
      <c r="AGN426" s="121"/>
      <c r="AGO426" s="121"/>
      <c r="AGP426" s="121"/>
      <c r="AGQ426" s="121"/>
      <c r="AGR426" s="121"/>
      <c r="AGS426" s="121"/>
      <c r="AGT426" s="121"/>
      <c r="AGU426" s="121"/>
      <c r="AGV426" s="121"/>
      <c r="AGW426" s="121"/>
      <c r="AGX426" s="121"/>
      <c r="AGY426" s="121"/>
      <c r="AGZ426" s="121"/>
      <c r="AHA426" s="121"/>
      <c r="AHB426" s="121"/>
      <c r="AHC426" s="121"/>
      <c r="AHD426" s="121"/>
      <c r="AHE426" s="121"/>
      <c r="AHF426" s="121"/>
      <c r="AHG426" s="121"/>
      <c r="AHH426" s="121"/>
      <c r="AHI426" s="121"/>
      <c r="AHJ426" s="121"/>
      <c r="AHK426" s="121"/>
      <c r="AHL426" s="121"/>
      <c r="AHM426" s="121"/>
      <c r="AHN426" s="121"/>
      <c r="AHO426" s="121"/>
      <c r="AHP426" s="121"/>
      <c r="AHQ426" s="121"/>
      <c r="AHR426" s="121"/>
      <c r="AHS426" s="121"/>
      <c r="AHT426" s="121"/>
      <c r="AHU426" s="121"/>
      <c r="AHV426" s="121"/>
      <c r="AHW426" s="121"/>
      <c r="AHX426" s="121"/>
      <c r="AHY426" s="121"/>
      <c r="AHZ426" s="121"/>
      <c r="AIA426" s="121"/>
      <c r="AIB426" s="121"/>
      <c r="AIC426" s="121"/>
      <c r="AID426" s="121"/>
      <c r="AIE426" s="121"/>
      <c r="AIF426" s="121"/>
      <c r="AIG426" s="121"/>
      <c r="AIH426" s="121"/>
      <c r="AII426" s="121"/>
      <c r="AIJ426" s="121"/>
      <c r="AIK426" s="121"/>
      <c r="AIL426" s="121"/>
      <c r="AIM426" s="121"/>
      <c r="AIN426" s="121"/>
      <c r="AIO426" s="121"/>
      <c r="AIP426" s="121"/>
      <c r="AIQ426" s="121"/>
      <c r="AIR426" s="121"/>
      <c r="AIS426" s="121"/>
      <c r="AIT426" s="121"/>
      <c r="AIU426" s="121"/>
      <c r="AIV426" s="121"/>
      <c r="AIW426" s="121"/>
      <c r="AIX426" s="121"/>
      <c r="AIY426" s="121"/>
      <c r="AIZ426" s="121"/>
      <c r="AJA426" s="121"/>
      <c r="AJB426" s="121"/>
      <c r="AJC426" s="121"/>
      <c r="AJD426" s="121"/>
      <c r="AJE426" s="121"/>
      <c r="AJF426" s="121"/>
      <c r="AJG426" s="121"/>
      <c r="AJH426" s="121"/>
      <c r="AJI426" s="121"/>
      <c r="AJJ426" s="121"/>
      <c r="AJK426" s="121"/>
      <c r="AJL426" s="121"/>
      <c r="AJM426" s="121"/>
      <c r="AJN426" s="121"/>
      <c r="AJO426" s="121"/>
      <c r="AJP426" s="121"/>
      <c r="AJQ426" s="121"/>
      <c r="AJR426" s="121"/>
      <c r="AJS426" s="121"/>
      <c r="AJT426" s="121"/>
      <c r="AJU426" s="121"/>
      <c r="AJV426" s="121"/>
      <c r="AJW426" s="121"/>
      <c r="AJX426" s="121"/>
      <c r="AJY426" s="121"/>
      <c r="AJZ426" s="121"/>
      <c r="AKA426" s="121"/>
      <c r="AKB426" s="121"/>
      <c r="AKC426" s="121"/>
      <c r="AKD426" s="121"/>
      <c r="AKE426" s="121"/>
      <c r="AKF426" s="121"/>
      <c r="AKG426" s="121"/>
      <c r="AKH426" s="121"/>
      <c r="AKI426" s="121"/>
      <c r="AKJ426" s="121"/>
      <c r="AKK426" s="121"/>
      <c r="AKL426" s="121"/>
      <c r="AKM426" s="121"/>
      <c r="AKN426" s="121"/>
      <c r="AKO426" s="121"/>
      <c r="AKP426" s="121"/>
      <c r="AKQ426" s="121"/>
      <c r="AKR426" s="121"/>
      <c r="AKS426" s="121"/>
      <c r="AKT426" s="121"/>
      <c r="AKU426" s="121"/>
      <c r="AKV426" s="121"/>
      <c r="AKW426" s="121"/>
      <c r="AKX426" s="121"/>
      <c r="AKY426" s="121"/>
      <c r="AKZ426" s="121"/>
      <c r="ALA426" s="121"/>
      <c r="ALB426" s="121"/>
      <c r="ALC426" s="121"/>
      <c r="ALD426" s="121"/>
      <c r="ALE426" s="121"/>
      <c r="ALF426" s="121"/>
      <c r="ALG426" s="121"/>
      <c r="ALH426" s="121"/>
      <c r="ALI426" s="121"/>
      <c r="ALJ426" s="121"/>
      <c r="ALK426" s="121"/>
      <c r="ALL426" s="121"/>
      <c r="ALM426" s="121"/>
      <c r="ALN426" s="121"/>
      <c r="ALO426" s="121"/>
      <c r="ALP426" s="121"/>
      <c r="ALQ426" s="121"/>
      <c r="ALR426" s="121"/>
      <c r="ALS426" s="121"/>
      <c r="ALT426" s="121"/>
      <c r="ALU426" s="121"/>
      <c r="ALV426" s="121"/>
      <c r="ALW426" s="121"/>
      <c r="ALX426" s="121"/>
      <c r="ALY426" s="121"/>
      <c r="ALZ426" s="121"/>
      <c r="AMA426" s="121"/>
      <c r="AMB426" s="121"/>
      <c r="AMC426" s="121"/>
      <c r="AMD426" s="121"/>
      <c r="AME426" s="121"/>
      <c r="AMF426" s="121"/>
      <c r="AMG426" s="121"/>
      <c r="AMH426" s="121"/>
      <c r="AMI426" s="121"/>
      <c r="AMJ426" s="121"/>
      <c r="AMK426" s="121"/>
    </row>
    <row r="427" spans="1:1025" customFormat="1" ht="15">
      <c r="A427" s="126"/>
      <c r="B427" s="125" t="s">
        <v>1</v>
      </c>
      <c r="C427" s="123" t="s">
        <v>0</v>
      </c>
      <c r="D427" s="124">
        <f>SUM(D425:D426)</f>
        <v>1029</v>
      </c>
      <c r="E427" s="124">
        <f>SUM(E425:E426)</f>
        <v>647.15700000000004</v>
      </c>
      <c r="F427" s="124">
        <f>SUM(F425:F426)</f>
        <v>163.44199999999998</v>
      </c>
      <c r="G427" s="123" t="s">
        <v>0</v>
      </c>
      <c r="H427" s="122"/>
      <c r="I427" s="122"/>
      <c r="J427" s="122"/>
      <c r="K427" s="122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21"/>
      <c r="AV427" s="121"/>
      <c r="AW427" s="121"/>
      <c r="AX427" s="121"/>
      <c r="AY427" s="121"/>
      <c r="AZ427" s="121"/>
      <c r="BA427" s="121"/>
      <c r="BB427" s="121"/>
      <c r="BC427" s="121"/>
      <c r="BD427" s="121"/>
      <c r="BE427" s="121"/>
      <c r="BF427" s="121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21"/>
      <c r="BS427" s="121"/>
      <c r="BT427" s="121"/>
      <c r="BU427" s="121"/>
      <c r="BV427" s="121"/>
      <c r="BW427" s="121"/>
      <c r="BX427" s="121"/>
      <c r="BY427" s="121"/>
      <c r="BZ427" s="121"/>
      <c r="CA427" s="121"/>
      <c r="CB427" s="121"/>
      <c r="CC427" s="121"/>
      <c r="CD427" s="121"/>
      <c r="CE427" s="121"/>
      <c r="CF427" s="121"/>
      <c r="CG427" s="121"/>
      <c r="CH427" s="121"/>
      <c r="CI427" s="121"/>
      <c r="CJ427" s="121"/>
      <c r="CK427" s="121"/>
      <c r="CL427" s="121"/>
      <c r="CM427" s="121"/>
      <c r="CN427" s="121"/>
      <c r="CO427" s="121"/>
      <c r="CP427" s="121"/>
      <c r="CQ427" s="121"/>
      <c r="CR427" s="121"/>
      <c r="CS427" s="121"/>
      <c r="CT427" s="121"/>
      <c r="CU427" s="121"/>
      <c r="CV427" s="121"/>
      <c r="CW427" s="121"/>
      <c r="CX427" s="121"/>
      <c r="CY427" s="121"/>
      <c r="CZ427" s="121"/>
      <c r="DA427" s="121"/>
      <c r="DB427" s="121"/>
      <c r="DC427" s="121"/>
      <c r="DD427" s="121"/>
      <c r="DE427" s="121"/>
      <c r="DF427" s="121"/>
      <c r="DG427" s="121"/>
      <c r="DH427" s="121"/>
      <c r="DI427" s="121"/>
      <c r="DJ427" s="121"/>
      <c r="DK427" s="121"/>
      <c r="DL427" s="121"/>
      <c r="DM427" s="121"/>
      <c r="DN427" s="121"/>
      <c r="DO427" s="121"/>
      <c r="DP427" s="121"/>
      <c r="DQ427" s="121"/>
      <c r="DR427" s="121"/>
      <c r="DS427" s="121"/>
      <c r="DT427" s="121"/>
      <c r="DU427" s="121"/>
      <c r="DV427" s="121"/>
      <c r="DW427" s="121"/>
      <c r="DX427" s="121"/>
      <c r="DY427" s="121"/>
      <c r="DZ427" s="121"/>
      <c r="EA427" s="121"/>
      <c r="EB427" s="121"/>
      <c r="EC427" s="121"/>
      <c r="ED427" s="121"/>
      <c r="EE427" s="121"/>
      <c r="EF427" s="121"/>
      <c r="EG427" s="121"/>
      <c r="EH427" s="121"/>
      <c r="EI427" s="121"/>
      <c r="EJ427" s="121"/>
      <c r="EK427" s="121"/>
      <c r="EL427" s="121"/>
      <c r="EM427" s="121"/>
      <c r="EN427" s="121"/>
      <c r="EO427" s="121"/>
      <c r="EP427" s="121"/>
      <c r="EQ427" s="121"/>
      <c r="ER427" s="121"/>
      <c r="ES427" s="121"/>
      <c r="ET427" s="121"/>
      <c r="EU427" s="121"/>
      <c r="EV427" s="121"/>
      <c r="EW427" s="121"/>
      <c r="EX427" s="121"/>
      <c r="EY427" s="121"/>
      <c r="EZ427" s="121"/>
      <c r="FA427" s="121"/>
      <c r="FB427" s="121"/>
      <c r="FC427" s="121"/>
      <c r="FD427" s="121"/>
      <c r="FE427" s="121"/>
      <c r="FF427" s="121"/>
      <c r="FG427" s="121"/>
      <c r="FH427" s="121"/>
      <c r="FI427" s="121"/>
      <c r="FJ427" s="121"/>
      <c r="FK427" s="121"/>
      <c r="FL427" s="121"/>
      <c r="FM427" s="121"/>
      <c r="FN427" s="121"/>
      <c r="FO427" s="121"/>
      <c r="FP427" s="121"/>
      <c r="FQ427" s="121"/>
      <c r="FR427" s="121"/>
      <c r="FS427" s="121"/>
      <c r="FT427" s="121"/>
      <c r="FU427" s="121"/>
      <c r="FV427" s="121"/>
      <c r="FW427" s="121"/>
      <c r="FX427" s="121"/>
      <c r="FY427" s="121"/>
      <c r="FZ427" s="121"/>
      <c r="GA427" s="121"/>
      <c r="GB427" s="121"/>
      <c r="GC427" s="121"/>
      <c r="GD427" s="121"/>
      <c r="GE427" s="121"/>
      <c r="GF427" s="121"/>
      <c r="GG427" s="121"/>
      <c r="GH427" s="121"/>
      <c r="GI427" s="121"/>
      <c r="GJ427" s="121"/>
      <c r="GK427" s="121"/>
      <c r="GL427" s="121"/>
      <c r="GM427" s="121"/>
      <c r="GN427" s="121"/>
      <c r="GO427" s="121"/>
      <c r="GP427" s="121"/>
      <c r="GQ427" s="121"/>
      <c r="GR427" s="121"/>
      <c r="GS427" s="121"/>
      <c r="GT427" s="121"/>
      <c r="GU427" s="121"/>
      <c r="GV427" s="121"/>
      <c r="GW427" s="121"/>
      <c r="GX427" s="121"/>
      <c r="GY427" s="121"/>
      <c r="GZ427" s="121"/>
      <c r="HA427" s="121"/>
      <c r="HB427" s="121"/>
      <c r="HC427" s="121"/>
      <c r="HD427" s="121"/>
      <c r="HE427" s="121"/>
      <c r="HF427" s="121"/>
      <c r="HG427" s="121"/>
      <c r="HH427" s="121"/>
      <c r="HI427" s="121"/>
      <c r="HJ427" s="121"/>
      <c r="HK427" s="121"/>
      <c r="HL427" s="121"/>
      <c r="HM427" s="121"/>
      <c r="HN427" s="121"/>
      <c r="HO427" s="121"/>
      <c r="HP427" s="121"/>
      <c r="HQ427" s="121"/>
      <c r="HR427" s="121"/>
      <c r="HS427" s="121"/>
      <c r="HT427" s="121"/>
      <c r="HU427" s="121"/>
      <c r="HV427" s="121"/>
      <c r="HW427" s="121"/>
      <c r="HX427" s="121"/>
      <c r="HY427" s="121"/>
      <c r="HZ427" s="121"/>
      <c r="IA427" s="121"/>
      <c r="IB427" s="121"/>
      <c r="IC427" s="121"/>
      <c r="ID427" s="121"/>
      <c r="IE427" s="121"/>
      <c r="IF427" s="121"/>
      <c r="IG427" s="121"/>
      <c r="IH427" s="121"/>
      <c r="II427" s="121"/>
      <c r="IJ427" s="121"/>
      <c r="IK427" s="121"/>
      <c r="IL427" s="121"/>
      <c r="IM427" s="121"/>
      <c r="IN427" s="121"/>
      <c r="IO427" s="121"/>
      <c r="IP427" s="121"/>
      <c r="IQ427" s="121"/>
      <c r="IR427" s="121"/>
      <c r="IS427" s="121"/>
      <c r="IT427" s="121"/>
      <c r="IU427" s="121"/>
      <c r="IV427" s="121"/>
      <c r="IW427" s="121"/>
      <c r="IX427" s="121"/>
      <c r="IY427" s="121"/>
      <c r="IZ427" s="121"/>
      <c r="JA427" s="121"/>
      <c r="JB427" s="121"/>
      <c r="JC427" s="121"/>
      <c r="JD427" s="121"/>
      <c r="JE427" s="121"/>
      <c r="JF427" s="121"/>
      <c r="JG427" s="121"/>
      <c r="JH427" s="121"/>
      <c r="JI427" s="121"/>
      <c r="JJ427" s="121"/>
      <c r="JK427" s="121"/>
      <c r="JL427" s="121"/>
      <c r="JM427" s="121"/>
      <c r="JN427" s="121"/>
      <c r="JO427" s="121"/>
      <c r="JP427" s="121"/>
      <c r="JQ427" s="121"/>
      <c r="JR427" s="121"/>
      <c r="JS427" s="121"/>
      <c r="JT427" s="121"/>
      <c r="JU427" s="121"/>
      <c r="JV427" s="121"/>
      <c r="JW427" s="121"/>
      <c r="JX427" s="121"/>
      <c r="JY427" s="121"/>
      <c r="JZ427" s="121"/>
      <c r="KA427" s="121"/>
      <c r="KB427" s="121"/>
      <c r="KC427" s="121"/>
      <c r="KD427" s="121"/>
      <c r="KE427" s="121"/>
      <c r="KF427" s="121"/>
      <c r="KG427" s="121"/>
      <c r="KH427" s="121"/>
      <c r="KI427" s="121"/>
      <c r="KJ427" s="121"/>
      <c r="KK427" s="121"/>
      <c r="KL427" s="121"/>
      <c r="KM427" s="121"/>
      <c r="KN427" s="121"/>
      <c r="KO427" s="121"/>
      <c r="KP427" s="121"/>
      <c r="KQ427" s="121"/>
      <c r="KR427" s="121"/>
      <c r="KS427" s="121"/>
      <c r="KT427" s="121"/>
      <c r="KU427" s="121"/>
      <c r="KV427" s="121"/>
      <c r="KW427" s="121"/>
      <c r="KX427" s="121"/>
      <c r="KY427" s="121"/>
      <c r="KZ427" s="121"/>
      <c r="LA427" s="121"/>
      <c r="LB427" s="121"/>
      <c r="LC427" s="121"/>
      <c r="LD427" s="121"/>
      <c r="LE427" s="121"/>
      <c r="LF427" s="121"/>
      <c r="LG427" s="121"/>
      <c r="LH427" s="121"/>
      <c r="LI427" s="121"/>
      <c r="LJ427" s="121"/>
      <c r="LK427" s="121"/>
      <c r="LL427" s="121"/>
      <c r="LM427" s="121"/>
      <c r="LN427" s="121"/>
      <c r="LO427" s="121"/>
      <c r="LP427" s="121"/>
      <c r="LQ427" s="121"/>
      <c r="LR427" s="121"/>
      <c r="LS427" s="121"/>
      <c r="LT427" s="121"/>
      <c r="LU427" s="121"/>
      <c r="LV427" s="121"/>
      <c r="LW427" s="121"/>
      <c r="LX427" s="121"/>
      <c r="LY427" s="121"/>
      <c r="LZ427" s="121"/>
      <c r="MA427" s="121"/>
      <c r="MB427" s="121"/>
      <c r="MC427" s="121"/>
      <c r="MD427" s="121"/>
      <c r="ME427" s="121"/>
      <c r="MF427" s="121"/>
      <c r="MG427" s="121"/>
      <c r="MH427" s="121"/>
      <c r="MI427" s="121"/>
      <c r="MJ427" s="121"/>
      <c r="MK427" s="121"/>
      <c r="ML427" s="121"/>
      <c r="MM427" s="121"/>
      <c r="MN427" s="121"/>
      <c r="MO427" s="121"/>
      <c r="MP427" s="121"/>
      <c r="MQ427" s="121"/>
      <c r="MR427" s="121"/>
      <c r="MS427" s="121"/>
      <c r="MT427" s="121"/>
      <c r="MU427" s="121"/>
      <c r="MV427" s="121"/>
      <c r="MW427" s="121"/>
      <c r="MX427" s="121"/>
      <c r="MY427" s="121"/>
      <c r="MZ427" s="121"/>
      <c r="NA427" s="121"/>
      <c r="NB427" s="121"/>
      <c r="NC427" s="121"/>
      <c r="ND427" s="121"/>
      <c r="NE427" s="121"/>
      <c r="NF427" s="121"/>
      <c r="NG427" s="121"/>
      <c r="NH427" s="121"/>
      <c r="NI427" s="121"/>
      <c r="NJ427" s="121"/>
      <c r="NK427" s="121"/>
      <c r="NL427" s="121"/>
      <c r="NM427" s="121"/>
      <c r="NN427" s="121"/>
      <c r="NO427" s="121"/>
      <c r="NP427" s="121"/>
      <c r="NQ427" s="121"/>
      <c r="NR427" s="121"/>
      <c r="NS427" s="121"/>
      <c r="NT427" s="121"/>
      <c r="NU427" s="121"/>
      <c r="NV427" s="121"/>
      <c r="NW427" s="121"/>
      <c r="NX427" s="121"/>
      <c r="NY427" s="121"/>
      <c r="NZ427" s="121"/>
      <c r="OA427" s="121"/>
      <c r="OB427" s="121"/>
      <c r="OC427" s="121"/>
      <c r="OD427" s="121"/>
      <c r="OE427" s="121"/>
      <c r="OF427" s="121"/>
      <c r="OG427" s="121"/>
      <c r="OH427" s="121"/>
      <c r="OI427" s="121"/>
      <c r="OJ427" s="121"/>
      <c r="OK427" s="121"/>
      <c r="OL427" s="121"/>
      <c r="OM427" s="121"/>
      <c r="ON427" s="121"/>
      <c r="OO427" s="121"/>
      <c r="OP427" s="121"/>
      <c r="OQ427" s="121"/>
      <c r="OR427" s="121"/>
      <c r="OS427" s="121"/>
      <c r="OT427" s="121"/>
      <c r="OU427" s="121"/>
      <c r="OV427" s="121"/>
      <c r="OW427" s="121"/>
      <c r="OX427" s="121"/>
      <c r="OY427" s="121"/>
      <c r="OZ427" s="121"/>
      <c r="PA427" s="121"/>
      <c r="PB427" s="121"/>
      <c r="PC427" s="121"/>
      <c r="PD427" s="121"/>
      <c r="PE427" s="121"/>
      <c r="PF427" s="121"/>
      <c r="PG427" s="121"/>
      <c r="PH427" s="121"/>
      <c r="PI427" s="121"/>
      <c r="PJ427" s="121"/>
      <c r="PK427" s="121"/>
      <c r="PL427" s="121"/>
      <c r="PM427" s="121"/>
      <c r="PN427" s="121"/>
      <c r="PO427" s="121"/>
      <c r="PP427" s="121"/>
      <c r="PQ427" s="121"/>
      <c r="PR427" s="121"/>
      <c r="PS427" s="121"/>
      <c r="PT427" s="121"/>
      <c r="PU427" s="121"/>
      <c r="PV427" s="121"/>
      <c r="PW427" s="121"/>
      <c r="PX427" s="121"/>
      <c r="PY427" s="121"/>
      <c r="PZ427" s="121"/>
      <c r="QA427" s="121"/>
      <c r="QB427" s="121"/>
      <c r="QC427" s="121"/>
      <c r="QD427" s="121"/>
      <c r="QE427" s="121"/>
      <c r="QF427" s="121"/>
      <c r="QG427" s="121"/>
      <c r="QH427" s="121"/>
      <c r="QI427" s="121"/>
      <c r="QJ427" s="121"/>
      <c r="QK427" s="121"/>
      <c r="QL427" s="121"/>
      <c r="QM427" s="121"/>
      <c r="QN427" s="121"/>
      <c r="QO427" s="121"/>
      <c r="QP427" s="121"/>
      <c r="QQ427" s="121"/>
      <c r="QR427" s="121"/>
      <c r="QS427" s="121"/>
      <c r="QT427" s="121"/>
      <c r="QU427" s="121"/>
      <c r="QV427" s="121"/>
      <c r="QW427" s="121"/>
      <c r="QX427" s="121"/>
      <c r="QY427" s="121"/>
      <c r="QZ427" s="121"/>
      <c r="RA427" s="121"/>
      <c r="RB427" s="121"/>
      <c r="RC427" s="121"/>
      <c r="RD427" s="121"/>
      <c r="RE427" s="121"/>
      <c r="RF427" s="121"/>
      <c r="RG427" s="121"/>
      <c r="RH427" s="121"/>
      <c r="RI427" s="121"/>
      <c r="RJ427" s="121"/>
      <c r="RK427" s="121"/>
      <c r="RL427" s="121"/>
      <c r="RM427" s="121"/>
      <c r="RN427" s="121"/>
      <c r="RO427" s="121"/>
      <c r="RP427" s="121"/>
      <c r="RQ427" s="121"/>
      <c r="RR427" s="121"/>
      <c r="RS427" s="121"/>
      <c r="RT427" s="121"/>
      <c r="RU427" s="121"/>
      <c r="RV427" s="121"/>
      <c r="RW427" s="121"/>
      <c r="RX427" s="121"/>
      <c r="RY427" s="121"/>
      <c r="RZ427" s="121"/>
      <c r="SA427" s="121"/>
      <c r="SB427" s="121"/>
      <c r="SC427" s="121"/>
      <c r="SD427" s="121"/>
      <c r="SE427" s="121"/>
      <c r="SF427" s="121"/>
      <c r="SG427" s="121"/>
      <c r="SH427" s="121"/>
      <c r="SI427" s="121"/>
      <c r="SJ427" s="121"/>
      <c r="SK427" s="121"/>
      <c r="SL427" s="121"/>
      <c r="SM427" s="121"/>
      <c r="SN427" s="121"/>
      <c r="SO427" s="121"/>
      <c r="SP427" s="121"/>
      <c r="SQ427" s="121"/>
      <c r="SR427" s="121"/>
      <c r="SS427" s="121"/>
      <c r="ST427" s="121"/>
      <c r="SU427" s="121"/>
      <c r="SV427" s="121"/>
      <c r="SW427" s="121"/>
      <c r="SX427" s="121"/>
      <c r="SY427" s="121"/>
      <c r="SZ427" s="121"/>
      <c r="TA427" s="121"/>
      <c r="TB427" s="121"/>
      <c r="TC427" s="121"/>
      <c r="TD427" s="121"/>
      <c r="TE427" s="121"/>
      <c r="TF427" s="121"/>
      <c r="TG427" s="121"/>
      <c r="TH427" s="121"/>
      <c r="TI427" s="121"/>
      <c r="TJ427" s="121"/>
      <c r="TK427" s="121"/>
      <c r="TL427" s="121"/>
      <c r="TM427" s="121"/>
      <c r="TN427" s="121"/>
      <c r="TO427" s="121"/>
      <c r="TP427" s="121"/>
      <c r="TQ427" s="121"/>
      <c r="TR427" s="121"/>
      <c r="TS427" s="121"/>
      <c r="TT427" s="121"/>
      <c r="TU427" s="121"/>
      <c r="TV427" s="121"/>
      <c r="TW427" s="121"/>
      <c r="TX427" s="121"/>
      <c r="TY427" s="121"/>
      <c r="TZ427" s="121"/>
      <c r="UA427" s="121"/>
      <c r="UB427" s="121"/>
      <c r="UC427" s="121"/>
      <c r="UD427" s="121"/>
      <c r="UE427" s="121"/>
      <c r="UF427" s="121"/>
      <c r="UG427" s="121"/>
      <c r="UH427" s="121"/>
      <c r="UI427" s="121"/>
      <c r="UJ427" s="121"/>
      <c r="UK427" s="121"/>
      <c r="UL427" s="121"/>
      <c r="UM427" s="121"/>
      <c r="UN427" s="121"/>
      <c r="UO427" s="121"/>
      <c r="UP427" s="121"/>
      <c r="UQ427" s="121"/>
      <c r="UR427" s="121"/>
      <c r="US427" s="121"/>
      <c r="UT427" s="121"/>
      <c r="UU427" s="121"/>
      <c r="UV427" s="121"/>
      <c r="UW427" s="121"/>
      <c r="UX427" s="121"/>
      <c r="UY427" s="121"/>
      <c r="UZ427" s="121"/>
      <c r="VA427" s="121"/>
      <c r="VB427" s="121"/>
      <c r="VC427" s="121"/>
      <c r="VD427" s="121"/>
      <c r="VE427" s="121"/>
      <c r="VF427" s="121"/>
      <c r="VG427" s="121"/>
      <c r="VH427" s="121"/>
      <c r="VI427" s="121"/>
      <c r="VJ427" s="121"/>
      <c r="VK427" s="121"/>
      <c r="VL427" s="121"/>
      <c r="VM427" s="121"/>
      <c r="VN427" s="121"/>
      <c r="VO427" s="121"/>
      <c r="VP427" s="121"/>
      <c r="VQ427" s="121"/>
      <c r="VR427" s="121"/>
      <c r="VS427" s="121"/>
      <c r="VT427" s="121"/>
      <c r="VU427" s="121"/>
      <c r="VV427" s="121"/>
      <c r="VW427" s="121"/>
      <c r="VX427" s="121"/>
      <c r="VY427" s="121"/>
      <c r="VZ427" s="121"/>
      <c r="WA427" s="121"/>
      <c r="WB427" s="121"/>
      <c r="WC427" s="121"/>
      <c r="WD427" s="121"/>
      <c r="WE427" s="121"/>
      <c r="WF427" s="121"/>
      <c r="WG427" s="121"/>
      <c r="WH427" s="121"/>
      <c r="WI427" s="121"/>
      <c r="WJ427" s="121"/>
      <c r="WK427" s="121"/>
      <c r="WL427" s="121"/>
      <c r="WM427" s="121"/>
      <c r="WN427" s="121"/>
      <c r="WO427" s="121"/>
      <c r="WP427" s="121"/>
      <c r="WQ427" s="121"/>
      <c r="WR427" s="121"/>
      <c r="WS427" s="121"/>
      <c r="WT427" s="121"/>
      <c r="WU427" s="121"/>
      <c r="WV427" s="121"/>
      <c r="WW427" s="121"/>
      <c r="WX427" s="121"/>
      <c r="WY427" s="121"/>
      <c r="WZ427" s="121"/>
      <c r="XA427" s="121"/>
      <c r="XB427" s="121"/>
      <c r="XC427" s="121"/>
      <c r="XD427" s="121"/>
      <c r="XE427" s="121"/>
      <c r="XF427" s="121"/>
      <c r="XG427" s="121"/>
      <c r="XH427" s="121"/>
      <c r="XI427" s="121"/>
      <c r="XJ427" s="121"/>
      <c r="XK427" s="121"/>
      <c r="XL427" s="121"/>
      <c r="XM427" s="121"/>
      <c r="XN427" s="121"/>
      <c r="XO427" s="121"/>
      <c r="XP427" s="121"/>
      <c r="XQ427" s="121"/>
      <c r="XR427" s="121"/>
      <c r="XS427" s="121"/>
      <c r="XT427" s="121"/>
      <c r="XU427" s="121"/>
      <c r="XV427" s="121"/>
      <c r="XW427" s="121"/>
      <c r="XX427" s="121"/>
      <c r="XY427" s="121"/>
      <c r="XZ427" s="121"/>
      <c r="YA427" s="121"/>
      <c r="YB427" s="121"/>
      <c r="YC427" s="121"/>
      <c r="YD427" s="121"/>
      <c r="YE427" s="121"/>
      <c r="YF427" s="121"/>
      <c r="YG427" s="121"/>
      <c r="YH427" s="121"/>
      <c r="YI427" s="121"/>
      <c r="YJ427" s="121"/>
      <c r="YK427" s="121"/>
      <c r="YL427" s="121"/>
      <c r="YM427" s="121"/>
      <c r="YN427" s="121"/>
      <c r="YO427" s="121"/>
      <c r="YP427" s="121"/>
      <c r="YQ427" s="121"/>
      <c r="YR427" s="121"/>
      <c r="YS427" s="121"/>
      <c r="YT427" s="121"/>
      <c r="YU427" s="121"/>
      <c r="YV427" s="121"/>
      <c r="YW427" s="121"/>
      <c r="YX427" s="121"/>
      <c r="YY427" s="121"/>
      <c r="YZ427" s="121"/>
      <c r="ZA427" s="121"/>
      <c r="ZB427" s="121"/>
      <c r="ZC427" s="121"/>
      <c r="ZD427" s="121"/>
      <c r="ZE427" s="121"/>
      <c r="ZF427" s="121"/>
      <c r="ZG427" s="121"/>
      <c r="ZH427" s="121"/>
      <c r="ZI427" s="121"/>
      <c r="ZJ427" s="121"/>
      <c r="ZK427" s="121"/>
      <c r="ZL427" s="121"/>
      <c r="ZM427" s="121"/>
      <c r="ZN427" s="121"/>
      <c r="ZO427" s="121"/>
      <c r="ZP427" s="121"/>
      <c r="ZQ427" s="121"/>
      <c r="ZR427" s="121"/>
      <c r="ZS427" s="121"/>
      <c r="ZT427" s="121"/>
      <c r="ZU427" s="121"/>
      <c r="ZV427" s="121"/>
      <c r="ZW427" s="121"/>
      <c r="ZX427" s="121"/>
      <c r="ZY427" s="121"/>
      <c r="ZZ427" s="121"/>
      <c r="AAA427" s="121"/>
      <c r="AAB427" s="121"/>
      <c r="AAC427" s="121"/>
      <c r="AAD427" s="121"/>
      <c r="AAE427" s="121"/>
      <c r="AAF427" s="121"/>
      <c r="AAG427" s="121"/>
      <c r="AAH427" s="121"/>
      <c r="AAI427" s="121"/>
      <c r="AAJ427" s="121"/>
      <c r="AAK427" s="121"/>
      <c r="AAL427" s="121"/>
      <c r="AAM427" s="121"/>
      <c r="AAN427" s="121"/>
      <c r="AAO427" s="121"/>
      <c r="AAP427" s="121"/>
      <c r="AAQ427" s="121"/>
      <c r="AAR427" s="121"/>
      <c r="AAS427" s="121"/>
      <c r="AAT427" s="121"/>
      <c r="AAU427" s="121"/>
      <c r="AAV427" s="121"/>
      <c r="AAW427" s="121"/>
      <c r="AAX427" s="121"/>
      <c r="AAY427" s="121"/>
      <c r="AAZ427" s="121"/>
      <c r="ABA427" s="121"/>
      <c r="ABB427" s="121"/>
      <c r="ABC427" s="121"/>
      <c r="ABD427" s="121"/>
      <c r="ABE427" s="121"/>
      <c r="ABF427" s="121"/>
      <c r="ABG427" s="121"/>
      <c r="ABH427" s="121"/>
      <c r="ABI427" s="121"/>
      <c r="ABJ427" s="121"/>
      <c r="ABK427" s="121"/>
      <c r="ABL427" s="121"/>
      <c r="ABM427" s="121"/>
      <c r="ABN427" s="121"/>
      <c r="ABO427" s="121"/>
      <c r="ABP427" s="121"/>
      <c r="ABQ427" s="121"/>
      <c r="ABR427" s="121"/>
      <c r="ABS427" s="121"/>
      <c r="ABT427" s="121"/>
      <c r="ABU427" s="121"/>
      <c r="ABV427" s="121"/>
      <c r="ABW427" s="121"/>
      <c r="ABX427" s="121"/>
      <c r="ABY427" s="121"/>
      <c r="ABZ427" s="121"/>
      <c r="ACA427" s="121"/>
      <c r="ACB427" s="121"/>
      <c r="ACC427" s="121"/>
      <c r="ACD427" s="121"/>
      <c r="ACE427" s="121"/>
      <c r="ACF427" s="121"/>
      <c r="ACG427" s="121"/>
      <c r="ACH427" s="121"/>
      <c r="ACI427" s="121"/>
      <c r="ACJ427" s="121"/>
      <c r="ACK427" s="121"/>
      <c r="ACL427" s="121"/>
      <c r="ACM427" s="121"/>
      <c r="ACN427" s="121"/>
      <c r="ACO427" s="121"/>
      <c r="ACP427" s="121"/>
      <c r="ACQ427" s="121"/>
      <c r="ACR427" s="121"/>
      <c r="ACS427" s="121"/>
      <c r="ACT427" s="121"/>
      <c r="ACU427" s="121"/>
      <c r="ACV427" s="121"/>
      <c r="ACW427" s="121"/>
      <c r="ACX427" s="121"/>
      <c r="ACY427" s="121"/>
      <c r="ACZ427" s="121"/>
      <c r="ADA427" s="121"/>
      <c r="ADB427" s="121"/>
      <c r="ADC427" s="121"/>
      <c r="ADD427" s="121"/>
      <c r="ADE427" s="121"/>
      <c r="ADF427" s="121"/>
      <c r="ADG427" s="121"/>
      <c r="ADH427" s="121"/>
      <c r="ADI427" s="121"/>
      <c r="ADJ427" s="121"/>
      <c r="ADK427" s="121"/>
      <c r="ADL427" s="121"/>
      <c r="ADM427" s="121"/>
      <c r="ADN427" s="121"/>
      <c r="ADO427" s="121"/>
      <c r="ADP427" s="121"/>
      <c r="ADQ427" s="121"/>
      <c r="ADR427" s="121"/>
      <c r="ADS427" s="121"/>
      <c r="ADT427" s="121"/>
      <c r="ADU427" s="121"/>
      <c r="ADV427" s="121"/>
      <c r="ADW427" s="121"/>
      <c r="ADX427" s="121"/>
      <c r="ADY427" s="121"/>
      <c r="ADZ427" s="121"/>
      <c r="AEA427" s="121"/>
      <c r="AEB427" s="121"/>
      <c r="AEC427" s="121"/>
      <c r="AED427" s="121"/>
      <c r="AEE427" s="121"/>
      <c r="AEF427" s="121"/>
      <c r="AEG427" s="121"/>
      <c r="AEH427" s="121"/>
      <c r="AEI427" s="121"/>
      <c r="AEJ427" s="121"/>
      <c r="AEK427" s="121"/>
      <c r="AEL427" s="121"/>
      <c r="AEM427" s="121"/>
      <c r="AEN427" s="121"/>
      <c r="AEO427" s="121"/>
      <c r="AEP427" s="121"/>
      <c r="AEQ427" s="121"/>
      <c r="AER427" s="121"/>
      <c r="AES427" s="121"/>
      <c r="AET427" s="121"/>
      <c r="AEU427" s="121"/>
      <c r="AEV427" s="121"/>
      <c r="AEW427" s="121"/>
      <c r="AEX427" s="121"/>
      <c r="AEY427" s="121"/>
      <c r="AEZ427" s="121"/>
      <c r="AFA427" s="121"/>
      <c r="AFB427" s="121"/>
      <c r="AFC427" s="121"/>
      <c r="AFD427" s="121"/>
      <c r="AFE427" s="121"/>
      <c r="AFF427" s="121"/>
      <c r="AFG427" s="121"/>
      <c r="AFH427" s="121"/>
      <c r="AFI427" s="121"/>
      <c r="AFJ427" s="121"/>
      <c r="AFK427" s="121"/>
      <c r="AFL427" s="121"/>
      <c r="AFM427" s="121"/>
      <c r="AFN427" s="121"/>
      <c r="AFO427" s="121"/>
      <c r="AFP427" s="121"/>
      <c r="AFQ427" s="121"/>
      <c r="AFR427" s="121"/>
      <c r="AFS427" s="121"/>
      <c r="AFT427" s="121"/>
      <c r="AFU427" s="121"/>
      <c r="AFV427" s="121"/>
      <c r="AFW427" s="121"/>
      <c r="AFX427" s="121"/>
      <c r="AFY427" s="121"/>
      <c r="AFZ427" s="121"/>
      <c r="AGA427" s="121"/>
      <c r="AGB427" s="121"/>
      <c r="AGC427" s="121"/>
      <c r="AGD427" s="121"/>
      <c r="AGE427" s="121"/>
      <c r="AGF427" s="121"/>
      <c r="AGG427" s="121"/>
      <c r="AGH427" s="121"/>
      <c r="AGI427" s="121"/>
      <c r="AGJ427" s="121"/>
      <c r="AGK427" s="121"/>
      <c r="AGL427" s="121"/>
      <c r="AGM427" s="121"/>
      <c r="AGN427" s="121"/>
      <c r="AGO427" s="121"/>
      <c r="AGP427" s="121"/>
      <c r="AGQ427" s="121"/>
      <c r="AGR427" s="121"/>
      <c r="AGS427" s="121"/>
      <c r="AGT427" s="121"/>
      <c r="AGU427" s="121"/>
      <c r="AGV427" s="121"/>
      <c r="AGW427" s="121"/>
      <c r="AGX427" s="121"/>
      <c r="AGY427" s="121"/>
      <c r="AGZ427" s="121"/>
      <c r="AHA427" s="121"/>
      <c r="AHB427" s="121"/>
      <c r="AHC427" s="121"/>
      <c r="AHD427" s="121"/>
      <c r="AHE427" s="121"/>
      <c r="AHF427" s="121"/>
      <c r="AHG427" s="121"/>
      <c r="AHH427" s="121"/>
      <c r="AHI427" s="121"/>
      <c r="AHJ427" s="121"/>
      <c r="AHK427" s="121"/>
      <c r="AHL427" s="121"/>
      <c r="AHM427" s="121"/>
      <c r="AHN427" s="121"/>
      <c r="AHO427" s="121"/>
      <c r="AHP427" s="121"/>
      <c r="AHQ427" s="121"/>
      <c r="AHR427" s="121"/>
      <c r="AHS427" s="121"/>
      <c r="AHT427" s="121"/>
      <c r="AHU427" s="121"/>
      <c r="AHV427" s="121"/>
      <c r="AHW427" s="121"/>
      <c r="AHX427" s="121"/>
      <c r="AHY427" s="121"/>
      <c r="AHZ427" s="121"/>
      <c r="AIA427" s="121"/>
      <c r="AIB427" s="121"/>
      <c r="AIC427" s="121"/>
      <c r="AID427" s="121"/>
      <c r="AIE427" s="121"/>
      <c r="AIF427" s="121"/>
      <c r="AIG427" s="121"/>
      <c r="AIH427" s="121"/>
      <c r="AII427" s="121"/>
      <c r="AIJ427" s="121"/>
      <c r="AIK427" s="121"/>
      <c r="AIL427" s="121"/>
      <c r="AIM427" s="121"/>
      <c r="AIN427" s="121"/>
      <c r="AIO427" s="121"/>
      <c r="AIP427" s="121"/>
      <c r="AIQ427" s="121"/>
      <c r="AIR427" s="121"/>
      <c r="AIS427" s="121"/>
      <c r="AIT427" s="121"/>
      <c r="AIU427" s="121"/>
      <c r="AIV427" s="121"/>
      <c r="AIW427" s="121"/>
      <c r="AIX427" s="121"/>
      <c r="AIY427" s="121"/>
      <c r="AIZ427" s="121"/>
      <c r="AJA427" s="121"/>
      <c r="AJB427" s="121"/>
      <c r="AJC427" s="121"/>
      <c r="AJD427" s="121"/>
      <c r="AJE427" s="121"/>
      <c r="AJF427" s="121"/>
      <c r="AJG427" s="121"/>
      <c r="AJH427" s="121"/>
      <c r="AJI427" s="121"/>
      <c r="AJJ427" s="121"/>
      <c r="AJK427" s="121"/>
      <c r="AJL427" s="121"/>
      <c r="AJM427" s="121"/>
      <c r="AJN427" s="121"/>
      <c r="AJO427" s="121"/>
      <c r="AJP427" s="121"/>
      <c r="AJQ427" s="121"/>
      <c r="AJR427" s="121"/>
      <c r="AJS427" s="121"/>
      <c r="AJT427" s="121"/>
      <c r="AJU427" s="121"/>
      <c r="AJV427" s="121"/>
      <c r="AJW427" s="121"/>
      <c r="AJX427" s="121"/>
      <c r="AJY427" s="121"/>
      <c r="AJZ427" s="121"/>
      <c r="AKA427" s="121"/>
      <c r="AKB427" s="121"/>
      <c r="AKC427" s="121"/>
      <c r="AKD427" s="121"/>
      <c r="AKE427" s="121"/>
      <c r="AKF427" s="121"/>
      <c r="AKG427" s="121"/>
      <c r="AKH427" s="121"/>
      <c r="AKI427" s="121"/>
      <c r="AKJ427" s="121"/>
      <c r="AKK427" s="121"/>
      <c r="AKL427" s="121"/>
      <c r="AKM427" s="121"/>
      <c r="AKN427" s="121"/>
      <c r="AKO427" s="121"/>
      <c r="AKP427" s="121"/>
      <c r="AKQ427" s="121"/>
      <c r="AKR427" s="121"/>
      <c r="AKS427" s="121"/>
      <c r="AKT427" s="121"/>
      <c r="AKU427" s="121"/>
      <c r="AKV427" s="121"/>
      <c r="AKW427" s="121"/>
      <c r="AKX427" s="121"/>
      <c r="AKY427" s="121"/>
      <c r="AKZ427" s="121"/>
      <c r="ALA427" s="121"/>
      <c r="ALB427" s="121"/>
      <c r="ALC427" s="121"/>
      <c r="ALD427" s="121"/>
      <c r="ALE427" s="121"/>
      <c r="ALF427" s="121"/>
      <c r="ALG427" s="121"/>
      <c r="ALH427" s="121"/>
      <c r="ALI427" s="121"/>
      <c r="ALJ427" s="121"/>
      <c r="ALK427" s="121"/>
      <c r="ALL427" s="121"/>
      <c r="ALM427" s="121"/>
      <c r="ALN427" s="121"/>
      <c r="ALO427" s="121"/>
      <c r="ALP427" s="121"/>
      <c r="ALQ427" s="121"/>
      <c r="ALR427" s="121"/>
      <c r="ALS427" s="121"/>
      <c r="ALT427" s="121"/>
      <c r="ALU427" s="121"/>
      <c r="ALV427" s="121"/>
      <c r="ALW427" s="121"/>
      <c r="ALX427" s="121"/>
      <c r="ALY427" s="121"/>
      <c r="ALZ427" s="121"/>
      <c r="AMA427" s="121"/>
      <c r="AMB427" s="121"/>
      <c r="AMC427" s="121"/>
      <c r="AMD427" s="121"/>
      <c r="AME427" s="121"/>
      <c r="AMF427" s="121"/>
      <c r="AMG427" s="121"/>
      <c r="AMH427" s="121"/>
      <c r="AMI427" s="121"/>
      <c r="AMJ427" s="121"/>
      <c r="AMK427" s="121"/>
    </row>
    <row r="428" spans="1:1025" s="2" customFormat="1">
      <c r="A428" s="114" t="s">
        <v>307</v>
      </c>
      <c r="B428" s="114"/>
      <c r="C428" s="114"/>
      <c r="D428" s="114"/>
      <c r="E428" s="114"/>
      <c r="F428" s="114"/>
      <c r="G428" s="114"/>
    </row>
    <row r="429" spans="1:1025" s="2" customFormat="1">
      <c r="A429" s="119" t="s">
        <v>302</v>
      </c>
      <c r="B429" s="119" t="s">
        <v>302</v>
      </c>
      <c r="C429" s="119" t="s">
        <v>302</v>
      </c>
      <c r="D429" s="120" t="s">
        <v>302</v>
      </c>
      <c r="E429" s="120" t="s">
        <v>302</v>
      </c>
      <c r="F429" s="120" t="s">
        <v>302</v>
      </c>
      <c r="G429" s="119" t="s">
        <v>302</v>
      </c>
    </row>
    <row r="430" spans="1:1025" s="2" customFormat="1">
      <c r="A430" s="118"/>
      <c r="B430" s="117" t="s">
        <v>1</v>
      </c>
      <c r="C430" s="115" t="s">
        <v>0</v>
      </c>
      <c r="D430" s="116">
        <v>0</v>
      </c>
      <c r="E430" s="116">
        <v>0</v>
      </c>
      <c r="F430" s="116">
        <v>0</v>
      </c>
      <c r="G430" s="115" t="s">
        <v>0</v>
      </c>
    </row>
    <row r="431" spans="1:1025" s="2" customFormat="1">
      <c r="A431" s="114" t="s">
        <v>306</v>
      </c>
      <c r="B431" s="114"/>
      <c r="C431" s="114"/>
      <c r="D431" s="114"/>
      <c r="E431" s="114"/>
      <c r="F431" s="114"/>
      <c r="G431" s="114"/>
    </row>
    <row r="432" spans="1:1025" s="2" customFormat="1">
      <c r="A432" s="119" t="s">
        <v>302</v>
      </c>
      <c r="B432" s="119" t="s">
        <v>302</v>
      </c>
      <c r="C432" s="119" t="s">
        <v>302</v>
      </c>
      <c r="D432" s="120" t="s">
        <v>302</v>
      </c>
      <c r="E432" s="120" t="s">
        <v>302</v>
      </c>
      <c r="F432" s="120" t="s">
        <v>302</v>
      </c>
      <c r="G432" s="119" t="s">
        <v>302</v>
      </c>
    </row>
    <row r="433" spans="1:7" s="2" customFormat="1">
      <c r="A433" s="118"/>
      <c r="B433" s="117" t="s">
        <v>1</v>
      </c>
      <c r="C433" s="115" t="s">
        <v>0</v>
      </c>
      <c r="D433" s="116">
        <v>0</v>
      </c>
      <c r="E433" s="116">
        <v>0</v>
      </c>
      <c r="F433" s="116">
        <v>0</v>
      </c>
      <c r="G433" s="115" t="s">
        <v>0</v>
      </c>
    </row>
    <row r="434" spans="1:7" s="2" customFormat="1">
      <c r="A434" s="114" t="s">
        <v>305</v>
      </c>
      <c r="B434" s="114"/>
      <c r="C434" s="114"/>
      <c r="D434" s="114"/>
      <c r="E434" s="114"/>
      <c r="F434" s="114"/>
      <c r="G434" s="114"/>
    </row>
    <row r="435" spans="1:7" s="2" customFormat="1">
      <c r="A435" s="119" t="s">
        <v>302</v>
      </c>
      <c r="B435" s="119" t="s">
        <v>302</v>
      </c>
      <c r="C435" s="119" t="s">
        <v>302</v>
      </c>
      <c r="D435" s="120" t="s">
        <v>302</v>
      </c>
      <c r="E435" s="120" t="s">
        <v>302</v>
      </c>
      <c r="F435" s="120" t="s">
        <v>302</v>
      </c>
      <c r="G435" s="119" t="s">
        <v>302</v>
      </c>
    </row>
    <row r="436" spans="1:7" s="2" customFormat="1">
      <c r="A436" s="118"/>
      <c r="B436" s="117" t="s">
        <v>1</v>
      </c>
      <c r="C436" s="115" t="s">
        <v>0</v>
      </c>
      <c r="D436" s="116">
        <v>0</v>
      </c>
      <c r="E436" s="116">
        <v>0</v>
      </c>
      <c r="F436" s="116">
        <v>0</v>
      </c>
      <c r="G436" s="115" t="s">
        <v>0</v>
      </c>
    </row>
    <row r="437" spans="1:7" s="1" customFormat="1">
      <c r="A437" s="114" t="s">
        <v>304</v>
      </c>
      <c r="B437" s="114"/>
      <c r="C437" s="114"/>
      <c r="D437" s="114"/>
      <c r="E437" s="114"/>
      <c r="F437" s="114"/>
      <c r="G437" s="114"/>
    </row>
    <row r="438" spans="1:7" s="1" customFormat="1">
      <c r="A438" s="119" t="s">
        <v>302</v>
      </c>
      <c r="B438" s="119" t="s">
        <v>302</v>
      </c>
      <c r="C438" s="119" t="s">
        <v>302</v>
      </c>
      <c r="D438" s="120" t="s">
        <v>302</v>
      </c>
      <c r="E438" s="120" t="s">
        <v>302</v>
      </c>
      <c r="F438" s="120" t="s">
        <v>302</v>
      </c>
      <c r="G438" s="119" t="s">
        <v>302</v>
      </c>
    </row>
    <row r="439" spans="1:7" s="1" customFormat="1">
      <c r="A439" s="118"/>
      <c r="B439" s="117" t="s">
        <v>1</v>
      </c>
      <c r="C439" s="115" t="s">
        <v>0</v>
      </c>
      <c r="D439" s="116">
        <v>0</v>
      </c>
      <c r="E439" s="116">
        <v>0</v>
      </c>
      <c r="F439" s="116">
        <v>0</v>
      </c>
      <c r="G439" s="115" t="s">
        <v>0</v>
      </c>
    </row>
    <row r="440" spans="1:7" s="2" customFormat="1">
      <c r="A440" s="114" t="s">
        <v>303</v>
      </c>
      <c r="B440" s="114"/>
      <c r="C440" s="114"/>
      <c r="D440" s="114"/>
      <c r="E440" s="114"/>
      <c r="F440" s="114"/>
      <c r="G440" s="114"/>
    </row>
    <row r="441" spans="1:7" s="2" customFormat="1">
      <c r="A441" s="119" t="s">
        <v>302</v>
      </c>
      <c r="B441" s="119" t="s">
        <v>302</v>
      </c>
      <c r="C441" s="119" t="s">
        <v>302</v>
      </c>
      <c r="D441" s="120" t="s">
        <v>302</v>
      </c>
      <c r="E441" s="120" t="s">
        <v>302</v>
      </c>
      <c r="F441" s="120" t="s">
        <v>302</v>
      </c>
      <c r="G441" s="119" t="s">
        <v>302</v>
      </c>
    </row>
    <row r="442" spans="1:7" s="2" customFormat="1">
      <c r="A442" s="118"/>
      <c r="B442" s="117" t="s">
        <v>1</v>
      </c>
      <c r="C442" s="115" t="s">
        <v>0</v>
      </c>
      <c r="D442" s="116">
        <v>0</v>
      </c>
      <c r="E442" s="116">
        <v>0</v>
      </c>
      <c r="F442" s="116">
        <v>0</v>
      </c>
      <c r="G442" s="115" t="s">
        <v>0</v>
      </c>
    </row>
    <row r="443" spans="1:7" s="2" customFormat="1">
      <c r="A443" s="114" t="s">
        <v>301</v>
      </c>
      <c r="B443" s="114"/>
      <c r="C443" s="114"/>
      <c r="D443" s="114"/>
      <c r="E443" s="114"/>
      <c r="F443" s="114"/>
      <c r="G443" s="114"/>
    </row>
    <row r="444" spans="1:7" s="83" customFormat="1">
      <c r="A444" s="113" t="s">
        <v>300</v>
      </c>
      <c r="B444" s="113" t="s">
        <v>299</v>
      </c>
      <c r="C444" s="77" t="s">
        <v>177</v>
      </c>
      <c r="D444" s="105">
        <f>E444+E447+E450</f>
        <v>1965.1129999999998</v>
      </c>
      <c r="E444" s="105">
        <v>1160.229</v>
      </c>
      <c r="F444" s="76">
        <v>1138.68139</v>
      </c>
      <c r="G444" s="78" t="s">
        <v>296</v>
      </c>
    </row>
    <row r="445" spans="1:7" s="83" customFormat="1" ht="25.5">
      <c r="A445" s="112"/>
      <c r="B445" s="112"/>
      <c r="C445" s="78" t="s">
        <v>250</v>
      </c>
      <c r="D445" s="104"/>
      <c r="E445" s="104"/>
      <c r="F445" s="76">
        <v>3.78</v>
      </c>
      <c r="G445" s="78" t="s">
        <v>290</v>
      </c>
    </row>
    <row r="446" spans="1:7" s="83" customFormat="1">
      <c r="A446" s="111"/>
      <c r="B446" s="111"/>
      <c r="C446" s="78" t="s">
        <v>249</v>
      </c>
      <c r="D446" s="104"/>
      <c r="E446" s="102"/>
      <c r="F446" s="76">
        <v>17.768000000000001</v>
      </c>
      <c r="G446" s="78" t="s">
        <v>294</v>
      </c>
    </row>
    <row r="447" spans="1:7" s="83" customFormat="1">
      <c r="A447" s="113" t="s">
        <v>298</v>
      </c>
      <c r="B447" s="113" t="s">
        <v>297</v>
      </c>
      <c r="C447" s="77" t="s">
        <v>177</v>
      </c>
      <c r="D447" s="104"/>
      <c r="E447" s="105">
        <f>F447+F448+F449</f>
        <v>746.99799999999993</v>
      </c>
      <c r="F447" s="76">
        <v>733.39400000000001</v>
      </c>
      <c r="G447" s="78" t="s">
        <v>296</v>
      </c>
    </row>
    <row r="448" spans="1:7" s="83" customFormat="1" ht="25.5">
      <c r="A448" s="112"/>
      <c r="B448" s="112"/>
      <c r="C448" s="78" t="s">
        <v>250</v>
      </c>
      <c r="D448" s="104"/>
      <c r="E448" s="104"/>
      <c r="F448" s="69">
        <v>2.16</v>
      </c>
      <c r="G448" s="78" t="s">
        <v>295</v>
      </c>
    </row>
    <row r="449" spans="1:7" s="83" customFormat="1">
      <c r="A449" s="111"/>
      <c r="B449" s="111"/>
      <c r="C449" s="78" t="s">
        <v>249</v>
      </c>
      <c r="D449" s="104"/>
      <c r="E449" s="102"/>
      <c r="F449" s="69">
        <v>11.444000000000001</v>
      </c>
      <c r="G449" s="78" t="s">
        <v>294</v>
      </c>
    </row>
    <row r="450" spans="1:7" s="83" customFormat="1" ht="63.75">
      <c r="A450" s="71" t="s">
        <v>293</v>
      </c>
      <c r="B450" s="73" t="s">
        <v>292</v>
      </c>
      <c r="C450" s="72" t="s">
        <v>291</v>
      </c>
      <c r="D450" s="102"/>
      <c r="E450" s="110">
        <v>57.886000000000003</v>
      </c>
      <c r="F450" s="72">
        <v>57.886000000000003</v>
      </c>
      <c r="G450" s="72" t="s">
        <v>290</v>
      </c>
    </row>
    <row r="451" spans="1:7" s="83" customFormat="1" ht="25.5">
      <c r="A451" s="106" t="s">
        <v>289</v>
      </c>
      <c r="B451" s="106" t="s">
        <v>288</v>
      </c>
      <c r="C451" s="78" t="s">
        <v>279</v>
      </c>
      <c r="D451" s="105">
        <f>E451+E452+E453+F454</f>
        <v>1257.01</v>
      </c>
      <c r="E451" s="101">
        <v>58.241</v>
      </c>
      <c r="F451" s="101">
        <v>58.241</v>
      </c>
      <c r="G451" s="78" t="s">
        <v>268</v>
      </c>
    </row>
    <row r="452" spans="1:7" s="83" customFormat="1" ht="25.5">
      <c r="A452" s="103"/>
      <c r="B452" s="103"/>
      <c r="C452" s="78" t="s">
        <v>287</v>
      </c>
      <c r="D452" s="104"/>
      <c r="E452" s="101">
        <v>1176.4469999999999</v>
      </c>
      <c r="F452" s="101">
        <v>1176.4469999999999</v>
      </c>
      <c r="G452" s="78" t="s">
        <v>286</v>
      </c>
    </row>
    <row r="453" spans="1:7" s="83" customFormat="1" ht="25.5">
      <c r="A453" s="103"/>
      <c r="B453" s="103"/>
      <c r="C453" s="78" t="s">
        <v>250</v>
      </c>
      <c r="D453" s="104"/>
      <c r="E453" s="101">
        <v>4.093</v>
      </c>
      <c r="F453" s="101">
        <v>4.093</v>
      </c>
      <c r="G453" s="78" t="s">
        <v>268</v>
      </c>
    </row>
    <row r="454" spans="1:7" s="83" customFormat="1">
      <c r="A454" s="109"/>
      <c r="B454" s="109"/>
      <c r="C454" s="78"/>
      <c r="D454" s="102"/>
      <c r="E454" s="101">
        <v>18.228999999999999</v>
      </c>
      <c r="F454" s="101">
        <v>18.228999999999999</v>
      </c>
      <c r="G454" s="78"/>
    </row>
    <row r="455" spans="1:7" s="83" customFormat="1" ht="63.75">
      <c r="A455" s="108" t="s">
        <v>285</v>
      </c>
      <c r="B455" s="108" t="s">
        <v>284</v>
      </c>
      <c r="C455" s="78" t="s">
        <v>279</v>
      </c>
      <c r="D455" s="70">
        <f>E455</f>
        <v>67.334000000000003</v>
      </c>
      <c r="E455" s="101">
        <v>67.334000000000003</v>
      </c>
      <c r="F455" s="101">
        <v>67.334000000000003</v>
      </c>
      <c r="G455" s="78" t="s">
        <v>268</v>
      </c>
    </row>
    <row r="456" spans="1:7" s="83" customFormat="1" ht="63.75">
      <c r="A456" s="107" t="s">
        <v>283</v>
      </c>
      <c r="B456" s="107" t="s">
        <v>282</v>
      </c>
      <c r="C456" s="78" t="s">
        <v>279</v>
      </c>
      <c r="D456" s="70">
        <f>E456</f>
        <v>57.04</v>
      </c>
      <c r="E456" s="101">
        <v>57.04</v>
      </c>
      <c r="F456" s="101">
        <v>57.04</v>
      </c>
      <c r="G456" s="78" t="s">
        <v>268</v>
      </c>
    </row>
    <row r="457" spans="1:7" s="83" customFormat="1" ht="76.5">
      <c r="A457" s="107" t="s">
        <v>281</v>
      </c>
      <c r="B457" s="107" t="s">
        <v>280</v>
      </c>
      <c r="C457" s="78" t="s">
        <v>279</v>
      </c>
      <c r="D457" s="70">
        <f>E457</f>
        <v>64.495999999999995</v>
      </c>
      <c r="E457" s="101">
        <v>64.495999999999995</v>
      </c>
      <c r="F457" s="101">
        <v>64.495999999999995</v>
      </c>
      <c r="G457" s="78" t="s">
        <v>268</v>
      </c>
    </row>
    <row r="458" spans="1:7" s="83" customFormat="1" ht="25.5">
      <c r="A458" s="106" t="s">
        <v>278</v>
      </c>
      <c r="B458" s="106" t="s">
        <v>277</v>
      </c>
      <c r="C458" s="78" t="s">
        <v>11</v>
      </c>
      <c r="D458" s="105">
        <f>E458+E460+9.093</f>
        <v>1189.0070000000001</v>
      </c>
      <c r="E458" s="101">
        <v>1160.123</v>
      </c>
      <c r="F458" s="100"/>
      <c r="G458" s="78" t="s">
        <v>276</v>
      </c>
    </row>
    <row r="459" spans="1:7" s="83" customFormat="1">
      <c r="A459" s="103"/>
      <c r="B459" s="103"/>
      <c r="C459" s="78" t="s">
        <v>250</v>
      </c>
      <c r="D459" s="104"/>
      <c r="E459" s="101">
        <v>9.093</v>
      </c>
      <c r="F459" s="100"/>
      <c r="G459" s="78"/>
    </row>
    <row r="460" spans="1:7" s="83" customFormat="1">
      <c r="A460" s="103"/>
      <c r="B460" s="103"/>
      <c r="C460" s="78" t="s">
        <v>249</v>
      </c>
      <c r="D460" s="102"/>
      <c r="E460" s="101">
        <v>19.791</v>
      </c>
      <c r="F460" s="100"/>
      <c r="G460" s="78" t="s">
        <v>98</v>
      </c>
    </row>
    <row r="461" spans="1:7" s="83" customFormat="1">
      <c r="A461" s="71"/>
      <c r="B461" s="73"/>
      <c r="C461" s="69"/>
      <c r="D461" s="69">
        <f>SUM(D444:D460)</f>
        <v>4600</v>
      </c>
      <c r="E461" s="69">
        <f>SUM(E444:E460)</f>
        <v>4599.9999999999991</v>
      </c>
      <c r="F461" s="69">
        <f>SUM(F444:F460)</f>
        <v>3410.9933899999992</v>
      </c>
      <c r="G461" s="69"/>
    </row>
    <row r="462" spans="1:7" s="83" customFormat="1" ht="63.75">
      <c r="A462" s="78" t="s">
        <v>275</v>
      </c>
      <c r="B462" s="78" t="s">
        <v>274</v>
      </c>
      <c r="C462" s="78" t="s">
        <v>246</v>
      </c>
      <c r="D462" s="95">
        <v>69.781999999999996</v>
      </c>
      <c r="E462" s="95">
        <v>69.781999999999996</v>
      </c>
      <c r="F462" s="95">
        <v>69.781999999999996</v>
      </c>
      <c r="G462" s="78" t="s">
        <v>268</v>
      </c>
    </row>
    <row r="463" spans="1:7" s="83" customFormat="1" ht="63.75">
      <c r="A463" s="78" t="s">
        <v>275</v>
      </c>
      <c r="B463" s="78" t="s">
        <v>274</v>
      </c>
      <c r="C463" s="78" t="s">
        <v>246</v>
      </c>
      <c r="D463" s="95">
        <v>58.31</v>
      </c>
      <c r="E463" s="95">
        <v>58.31</v>
      </c>
      <c r="F463" s="95">
        <v>58.31</v>
      </c>
      <c r="G463" s="78" t="s">
        <v>268</v>
      </c>
    </row>
    <row r="464" spans="1:7" s="83" customFormat="1" ht="76.5">
      <c r="A464" s="78" t="s">
        <v>273</v>
      </c>
      <c r="B464" s="78" t="s">
        <v>272</v>
      </c>
      <c r="C464" s="78" t="s">
        <v>246</v>
      </c>
      <c r="D464" s="95">
        <v>69.73</v>
      </c>
      <c r="E464" s="95">
        <v>69.73</v>
      </c>
      <c r="F464" s="95">
        <v>69.73</v>
      </c>
      <c r="G464" s="78" t="s">
        <v>268</v>
      </c>
    </row>
    <row r="465" spans="1:7" s="83" customFormat="1" ht="25.5">
      <c r="A465" s="92" t="s">
        <v>271</v>
      </c>
      <c r="B465" s="92" t="s">
        <v>270</v>
      </c>
      <c r="C465" s="78" t="s">
        <v>11</v>
      </c>
      <c r="D465" s="95">
        <v>1132.1690000000001</v>
      </c>
      <c r="E465" s="95">
        <v>1132.1690000000001</v>
      </c>
      <c r="F465" s="95">
        <v>1132.1690000000001</v>
      </c>
      <c r="G465" s="78" t="s">
        <v>269</v>
      </c>
    </row>
    <row r="466" spans="1:7" s="83" customFormat="1">
      <c r="A466" s="99"/>
      <c r="B466" s="99"/>
      <c r="C466" s="78" t="s">
        <v>249</v>
      </c>
      <c r="D466" s="95">
        <v>17.588999999999999</v>
      </c>
      <c r="E466" s="95">
        <v>17.588999999999999</v>
      </c>
      <c r="F466" s="95">
        <v>17.588999999999999</v>
      </c>
      <c r="G466" s="78" t="s">
        <v>98</v>
      </c>
    </row>
    <row r="467" spans="1:7" s="83" customFormat="1" ht="25.5">
      <c r="A467" s="91"/>
      <c r="B467" s="91"/>
      <c r="C467" s="78" t="s">
        <v>250</v>
      </c>
      <c r="D467" s="95">
        <v>3.9489999999999998</v>
      </c>
      <c r="E467" s="95">
        <v>3.9489999999999998</v>
      </c>
      <c r="F467" s="95">
        <v>3.9489999999999998</v>
      </c>
      <c r="G467" s="78" t="s">
        <v>268</v>
      </c>
    </row>
    <row r="468" spans="1:7" s="83" customFormat="1">
      <c r="A468" s="92" t="s">
        <v>267</v>
      </c>
      <c r="B468" s="92" t="s">
        <v>266</v>
      </c>
      <c r="C468" s="78" t="s">
        <v>11</v>
      </c>
      <c r="D468" s="95">
        <v>1374.587</v>
      </c>
      <c r="E468" s="95">
        <v>1374.587</v>
      </c>
      <c r="F468" s="95">
        <v>1374.587</v>
      </c>
      <c r="G468" s="78" t="s">
        <v>265</v>
      </c>
    </row>
    <row r="469" spans="1:7" s="83" customFormat="1">
      <c r="A469" s="91"/>
      <c r="B469" s="91"/>
      <c r="C469" s="78" t="s">
        <v>249</v>
      </c>
      <c r="D469" s="95">
        <v>21.303999999999998</v>
      </c>
      <c r="E469" s="95">
        <v>21.303999999999998</v>
      </c>
      <c r="F469" s="95">
        <v>21.303999999999998</v>
      </c>
      <c r="G469" s="78" t="s">
        <v>98</v>
      </c>
    </row>
    <row r="470" spans="1:7" s="83" customFormat="1" ht="102">
      <c r="A470" s="78" t="s">
        <v>264</v>
      </c>
      <c r="B470" s="78" t="s">
        <v>263</v>
      </c>
      <c r="C470" s="78" t="s">
        <v>262</v>
      </c>
      <c r="D470" s="95">
        <v>80.228999999999999</v>
      </c>
      <c r="E470" s="95">
        <v>80.228999999999999</v>
      </c>
      <c r="F470" s="95">
        <v>80.228999999999999</v>
      </c>
      <c r="G470" s="78" t="s">
        <v>261</v>
      </c>
    </row>
    <row r="471" spans="1:7" s="83" customFormat="1">
      <c r="A471" s="78" t="s">
        <v>260</v>
      </c>
      <c r="B471" s="78"/>
      <c r="C471" s="78"/>
      <c r="D471" s="95">
        <v>608.95100000000002</v>
      </c>
      <c r="E471" s="95">
        <v>608.95100000000002</v>
      </c>
      <c r="F471" s="95"/>
      <c r="G471" s="78"/>
    </row>
    <row r="472" spans="1:7" s="83" customFormat="1">
      <c r="A472" s="98"/>
      <c r="B472" s="98"/>
      <c r="C472" s="69"/>
      <c r="D472" s="69">
        <f>SUM(D462:D471)</f>
        <v>3436.6</v>
      </c>
      <c r="E472" s="69">
        <f>SUM(E462:E471)</f>
        <v>3436.6</v>
      </c>
      <c r="F472" s="69">
        <f>SUM(F462:F470)</f>
        <v>2827.6489999999999</v>
      </c>
      <c r="G472" s="69"/>
    </row>
    <row r="473" spans="1:7" s="83" customFormat="1" ht="38.25">
      <c r="A473" s="97" t="s">
        <v>259</v>
      </c>
      <c r="B473" s="97" t="s">
        <v>258</v>
      </c>
      <c r="C473" s="78" t="s">
        <v>11</v>
      </c>
      <c r="D473" s="95">
        <v>135.578</v>
      </c>
      <c r="E473" s="95">
        <v>135.578</v>
      </c>
      <c r="F473" s="95">
        <v>135.578</v>
      </c>
      <c r="G473" s="78" t="s">
        <v>255</v>
      </c>
    </row>
    <row r="474" spans="1:7" s="83" customFormat="1" ht="38.25">
      <c r="A474" s="96"/>
      <c r="B474" s="96"/>
      <c r="C474" s="78" t="s">
        <v>250</v>
      </c>
      <c r="D474" s="95">
        <v>1.08</v>
      </c>
      <c r="E474" s="95">
        <v>1.08</v>
      </c>
      <c r="F474" s="95">
        <v>1.08</v>
      </c>
      <c r="G474" s="78" t="s">
        <v>245</v>
      </c>
    </row>
    <row r="475" spans="1:7" s="83" customFormat="1" ht="38.25">
      <c r="A475" s="96"/>
      <c r="B475" s="96"/>
      <c r="C475" s="78" t="s">
        <v>242</v>
      </c>
      <c r="D475" s="95">
        <v>10.8</v>
      </c>
      <c r="E475" s="95">
        <v>10.8</v>
      </c>
      <c r="F475" s="95">
        <v>10.8</v>
      </c>
      <c r="G475" s="78" t="s">
        <v>245</v>
      </c>
    </row>
    <row r="476" spans="1:7" s="83" customFormat="1" ht="38.25">
      <c r="A476" s="94"/>
      <c r="B476" s="94"/>
      <c r="C476" s="78" t="s">
        <v>249</v>
      </c>
      <c r="D476" s="95">
        <v>2.5350000000000001</v>
      </c>
      <c r="E476" s="95">
        <v>2.5350000000000001</v>
      </c>
      <c r="F476" s="95">
        <v>2.5350000000000001</v>
      </c>
      <c r="G476" s="78" t="s">
        <v>254</v>
      </c>
    </row>
    <row r="477" spans="1:7" s="83" customFormat="1" ht="38.25">
      <c r="A477" s="97" t="s">
        <v>257</v>
      </c>
      <c r="B477" s="97" t="s">
        <v>256</v>
      </c>
      <c r="C477" s="78" t="s">
        <v>11</v>
      </c>
      <c r="D477" s="95">
        <v>135.578</v>
      </c>
      <c r="E477" s="95">
        <v>135.578</v>
      </c>
      <c r="F477" s="95">
        <v>135.578</v>
      </c>
      <c r="G477" s="78" t="s">
        <v>255</v>
      </c>
    </row>
    <row r="478" spans="1:7" s="83" customFormat="1" ht="38.25">
      <c r="A478" s="96"/>
      <c r="B478" s="96"/>
      <c r="C478" s="78" t="s">
        <v>250</v>
      </c>
      <c r="D478" s="95">
        <v>1.08</v>
      </c>
      <c r="E478" s="95">
        <v>1.08</v>
      </c>
      <c r="F478" s="95">
        <v>1.08</v>
      </c>
      <c r="G478" s="78" t="s">
        <v>245</v>
      </c>
    </row>
    <row r="479" spans="1:7" s="83" customFormat="1" ht="38.25">
      <c r="A479" s="96"/>
      <c r="B479" s="96"/>
      <c r="C479" s="78" t="s">
        <v>242</v>
      </c>
      <c r="D479" s="95">
        <v>10.8</v>
      </c>
      <c r="E479" s="95">
        <v>10.8</v>
      </c>
      <c r="F479" s="95">
        <v>10.8</v>
      </c>
      <c r="G479" s="78" t="s">
        <v>245</v>
      </c>
    </row>
    <row r="480" spans="1:7" s="83" customFormat="1" ht="38.25">
      <c r="A480" s="94"/>
      <c r="B480" s="94"/>
      <c r="C480" s="78" t="s">
        <v>249</v>
      </c>
      <c r="D480" s="95">
        <v>2.5350000000000001</v>
      </c>
      <c r="E480" s="95">
        <v>2.5350000000000001</v>
      </c>
      <c r="F480" s="95">
        <v>2.5350000000000001</v>
      </c>
      <c r="G480" s="78" t="s">
        <v>254</v>
      </c>
    </row>
    <row r="481" spans="1:11" s="83" customFormat="1" ht="25.5">
      <c r="A481" s="97" t="s">
        <v>253</v>
      </c>
      <c r="B481" s="97" t="s">
        <v>252</v>
      </c>
      <c r="C481" s="78" t="s">
        <v>11</v>
      </c>
      <c r="D481" s="95">
        <v>179.41399999999999</v>
      </c>
      <c r="E481" s="95">
        <v>179.41399999999999</v>
      </c>
      <c r="F481" s="95">
        <v>179.41399999999999</v>
      </c>
      <c r="G481" s="78" t="s">
        <v>251</v>
      </c>
    </row>
    <row r="482" spans="1:11" s="83" customFormat="1" ht="38.25">
      <c r="A482" s="96"/>
      <c r="B482" s="96"/>
      <c r="C482" s="78" t="s">
        <v>250</v>
      </c>
      <c r="D482" s="95">
        <v>1.08</v>
      </c>
      <c r="E482" s="95">
        <v>1.08</v>
      </c>
      <c r="F482" s="95"/>
      <c r="G482" s="78" t="s">
        <v>245</v>
      </c>
    </row>
    <row r="483" spans="1:11" s="83" customFormat="1" ht="38.25">
      <c r="A483" s="96"/>
      <c r="B483" s="96"/>
      <c r="C483" s="78" t="s">
        <v>242</v>
      </c>
      <c r="D483" s="95">
        <v>16.2</v>
      </c>
      <c r="E483" s="95">
        <v>16.2</v>
      </c>
      <c r="F483" s="95">
        <v>16.2</v>
      </c>
      <c r="G483" s="78" t="s">
        <v>245</v>
      </c>
    </row>
    <row r="484" spans="1:11" s="83" customFormat="1">
      <c r="A484" s="94"/>
      <c r="B484" s="94"/>
      <c r="C484" s="78" t="s">
        <v>249</v>
      </c>
      <c r="D484" s="93">
        <v>3.32</v>
      </c>
      <c r="E484" s="93">
        <v>3.32</v>
      </c>
      <c r="F484" s="93"/>
      <c r="G484" s="69"/>
    </row>
    <row r="485" spans="1:11" s="83" customFormat="1">
      <c r="A485" s="71"/>
      <c r="B485" s="73"/>
      <c r="C485" s="69"/>
      <c r="D485" s="69">
        <f>SUM(D473:D484)</f>
        <v>500</v>
      </c>
      <c r="E485" s="69">
        <f>SUM(E473:E484)</f>
        <v>500</v>
      </c>
      <c r="F485" s="69">
        <f>SUM(F473:F484)</f>
        <v>495.6</v>
      </c>
      <c r="G485" s="69"/>
    </row>
    <row r="486" spans="1:11" s="83" customFormat="1" ht="38.25">
      <c r="A486" s="92" t="s">
        <v>248</v>
      </c>
      <c r="B486" s="92" t="s">
        <v>247</v>
      </c>
      <c r="C486" s="78" t="s">
        <v>246</v>
      </c>
      <c r="D486" s="69">
        <v>10.8</v>
      </c>
      <c r="E486" s="69">
        <v>10.8</v>
      </c>
      <c r="F486" s="69">
        <v>10.8</v>
      </c>
      <c r="G486" s="78" t="s">
        <v>245</v>
      </c>
    </row>
    <row r="487" spans="1:11" s="83" customFormat="1">
      <c r="A487" s="91"/>
      <c r="B487" s="91"/>
      <c r="C487" s="78" t="s">
        <v>11</v>
      </c>
      <c r="D487" s="69">
        <v>173.2</v>
      </c>
      <c r="E487" s="69">
        <v>173.2</v>
      </c>
      <c r="F487" s="69"/>
      <c r="G487" s="69"/>
    </row>
    <row r="488" spans="1:11" s="83" customFormat="1">
      <c r="A488" s="71"/>
      <c r="B488" s="84"/>
      <c r="C488" s="69"/>
      <c r="D488" s="69">
        <f>SUM(D486:D487)</f>
        <v>184</v>
      </c>
      <c r="E488" s="69">
        <f>SUM(E486:E487)</f>
        <v>184</v>
      </c>
      <c r="F488" s="69">
        <f>SUM(F486:F487)</f>
        <v>10.8</v>
      </c>
      <c r="G488" s="69"/>
    </row>
    <row r="489" spans="1:11" s="83" customFormat="1" ht="25.5">
      <c r="A489" s="90" t="s">
        <v>244</v>
      </c>
      <c r="B489" s="90" t="s">
        <v>243</v>
      </c>
      <c r="C489" s="78" t="s">
        <v>242</v>
      </c>
      <c r="D489" s="89">
        <v>850</v>
      </c>
      <c r="E489" s="85">
        <v>11.428000000000001</v>
      </c>
      <c r="F489" s="85">
        <v>11.428000000000001</v>
      </c>
      <c r="G489" s="78" t="s">
        <v>241</v>
      </c>
    </row>
    <row r="490" spans="1:11" s="83" customFormat="1" ht="25.5">
      <c r="A490" s="88"/>
      <c r="B490" s="88"/>
      <c r="C490" s="78" t="s">
        <v>240</v>
      </c>
      <c r="D490" s="87"/>
      <c r="E490" s="85">
        <v>838.572</v>
      </c>
      <c r="F490" s="85"/>
      <c r="G490" s="78" t="s">
        <v>239</v>
      </c>
    </row>
    <row r="491" spans="1:11" s="83" customFormat="1" ht="51">
      <c r="A491" s="78" t="s">
        <v>238</v>
      </c>
      <c r="B491" s="78" t="s">
        <v>237</v>
      </c>
      <c r="C491" s="78" t="s">
        <v>236</v>
      </c>
      <c r="D491" s="86">
        <v>500</v>
      </c>
      <c r="E491" s="85">
        <v>500</v>
      </c>
      <c r="F491" s="85">
        <v>149.666</v>
      </c>
      <c r="G491" s="78" t="s">
        <v>235</v>
      </c>
    </row>
    <row r="492" spans="1:11" s="83" customFormat="1">
      <c r="A492" s="71"/>
      <c r="B492" s="84"/>
      <c r="C492" s="69"/>
      <c r="D492" s="69">
        <f>SUM(D489:D491)</f>
        <v>1350</v>
      </c>
      <c r="E492" s="69">
        <f>SUM(E489:E491)</f>
        <v>1350</v>
      </c>
      <c r="F492" s="69">
        <f>SUM(F489:F491)</f>
        <v>161.09399999999999</v>
      </c>
      <c r="G492" s="69"/>
    </row>
    <row r="493" spans="1:11" s="81" customFormat="1" ht="15">
      <c r="A493" s="59"/>
      <c r="B493" s="58" t="s">
        <v>1</v>
      </c>
      <c r="C493" s="56" t="s">
        <v>0</v>
      </c>
      <c r="D493" s="57">
        <f>D461+D472+D485+D488+D492</f>
        <v>10070.6</v>
      </c>
      <c r="E493" s="57">
        <f>E461+E472+E485+E488+E492</f>
        <v>10070.599999999999</v>
      </c>
      <c r="F493" s="57">
        <f>F461+F472+F485+F488+F492</f>
        <v>6906.1363899999997</v>
      </c>
      <c r="G493" s="56" t="s">
        <v>0</v>
      </c>
      <c r="H493" s="82"/>
      <c r="I493" s="82"/>
      <c r="J493" s="82"/>
      <c r="K493" s="82"/>
    </row>
    <row r="494" spans="1:11" s="2" customFormat="1">
      <c r="A494" s="53" t="s">
        <v>234</v>
      </c>
      <c r="B494" s="53"/>
      <c r="C494" s="53"/>
      <c r="D494" s="53"/>
      <c r="E494" s="53"/>
      <c r="F494" s="53"/>
      <c r="G494" s="53"/>
    </row>
    <row r="495" spans="1:11" s="60" customFormat="1" ht="51">
      <c r="A495" s="71" t="s">
        <v>233</v>
      </c>
      <c r="B495" s="71" t="s">
        <v>232</v>
      </c>
      <c r="C495" s="77" t="s">
        <v>229</v>
      </c>
      <c r="D495" s="76">
        <v>624.83000000000004</v>
      </c>
      <c r="E495" s="76">
        <v>200.68472</v>
      </c>
      <c r="F495" s="76">
        <v>200.68472</v>
      </c>
      <c r="G495" s="77" t="s">
        <v>180</v>
      </c>
      <c r="H495" s="61"/>
      <c r="I495" s="61"/>
      <c r="J495" s="61"/>
      <c r="K495" s="61"/>
    </row>
    <row r="496" spans="1:11" s="60" customFormat="1" ht="38.25">
      <c r="A496" s="71" t="s">
        <v>231</v>
      </c>
      <c r="B496" s="71" t="s">
        <v>230</v>
      </c>
      <c r="C496" s="77" t="s">
        <v>229</v>
      </c>
      <c r="D496" s="76">
        <v>300</v>
      </c>
      <c r="E496" s="76">
        <v>16.729220000000002</v>
      </c>
      <c r="F496" s="76">
        <v>16.729220000000002</v>
      </c>
      <c r="G496" s="77" t="s">
        <v>228</v>
      </c>
      <c r="H496" s="61"/>
      <c r="I496" s="61"/>
      <c r="J496" s="61"/>
      <c r="K496" s="61"/>
    </row>
    <row r="497" spans="1:11" s="74" customFormat="1" ht="38.25">
      <c r="A497" s="71" t="s">
        <v>227</v>
      </c>
      <c r="B497" s="71" t="s">
        <v>226</v>
      </c>
      <c r="C497" s="77" t="s">
        <v>206</v>
      </c>
      <c r="D497" s="76">
        <v>1244.1043099999999</v>
      </c>
      <c r="E497" s="76">
        <v>1244.1043099999999</v>
      </c>
      <c r="F497" s="76">
        <v>1244.1043099999999</v>
      </c>
      <c r="G497" s="77" t="s">
        <v>159</v>
      </c>
      <c r="H497" s="75"/>
      <c r="I497" s="75"/>
      <c r="J497" s="75"/>
      <c r="K497" s="75"/>
    </row>
    <row r="498" spans="1:11" s="74" customFormat="1" ht="51">
      <c r="A498" s="71" t="s">
        <v>225</v>
      </c>
      <c r="B498" s="71" t="s">
        <v>224</v>
      </c>
      <c r="C498" s="77" t="s">
        <v>206</v>
      </c>
      <c r="D498" s="76">
        <v>451.06806</v>
      </c>
      <c r="E498" s="76">
        <v>451.06806</v>
      </c>
      <c r="F498" s="76">
        <v>451.06806</v>
      </c>
      <c r="G498" s="77" t="s">
        <v>159</v>
      </c>
      <c r="H498" s="75"/>
      <c r="I498" s="75"/>
      <c r="J498" s="75"/>
      <c r="K498" s="75"/>
    </row>
    <row r="499" spans="1:11" s="74" customFormat="1" ht="51">
      <c r="A499" s="71" t="s">
        <v>223</v>
      </c>
      <c r="B499" s="71" t="s">
        <v>222</v>
      </c>
      <c r="C499" s="77" t="s">
        <v>206</v>
      </c>
      <c r="D499" s="76">
        <v>1000</v>
      </c>
      <c r="E499" s="76">
        <v>8.1166199999999993</v>
      </c>
      <c r="F499" s="76">
        <v>8.1166199999999993</v>
      </c>
      <c r="G499" s="77" t="s">
        <v>209</v>
      </c>
      <c r="H499" s="75"/>
      <c r="I499" s="75"/>
      <c r="J499" s="75"/>
      <c r="K499" s="75"/>
    </row>
    <row r="500" spans="1:11" s="74" customFormat="1" ht="63.75">
      <c r="A500" s="71" t="s">
        <v>221</v>
      </c>
      <c r="B500" s="71" t="s">
        <v>220</v>
      </c>
      <c r="C500" s="77" t="s">
        <v>206</v>
      </c>
      <c r="D500" s="76">
        <v>2202.4120699999999</v>
      </c>
      <c r="E500" s="76">
        <v>2202.4120699999999</v>
      </c>
      <c r="F500" s="76">
        <v>2202.4120699999999</v>
      </c>
      <c r="G500" s="77" t="s">
        <v>159</v>
      </c>
      <c r="H500" s="80"/>
      <c r="I500" s="75"/>
      <c r="J500" s="75"/>
      <c r="K500" s="75"/>
    </row>
    <row r="501" spans="1:11" s="74" customFormat="1" ht="51">
      <c r="A501" s="71" t="s">
        <v>219</v>
      </c>
      <c r="B501" s="71" t="s">
        <v>218</v>
      </c>
      <c r="C501" s="77" t="s">
        <v>206</v>
      </c>
      <c r="D501" s="76">
        <v>1000</v>
      </c>
      <c r="E501" s="76">
        <v>53.942</v>
      </c>
      <c r="F501" s="76">
        <v>53.942349999999998</v>
      </c>
      <c r="G501" s="77" t="s">
        <v>209</v>
      </c>
      <c r="H501" s="75"/>
      <c r="I501" s="80"/>
      <c r="J501" s="75"/>
      <c r="K501" s="75"/>
    </row>
    <row r="502" spans="1:11" s="74" customFormat="1" ht="51">
      <c r="A502" s="71" t="s">
        <v>217</v>
      </c>
      <c r="B502" s="79" t="s">
        <v>216</v>
      </c>
      <c r="C502" s="77" t="s">
        <v>206</v>
      </c>
      <c r="D502" s="76">
        <v>708.06200000000001</v>
      </c>
      <c r="E502" s="76">
        <v>56.201929999999997</v>
      </c>
      <c r="F502" s="76">
        <v>56.201929999999997</v>
      </c>
      <c r="G502" s="77" t="s">
        <v>209</v>
      </c>
      <c r="H502" s="75"/>
      <c r="I502" s="80"/>
      <c r="J502" s="75"/>
      <c r="K502" s="75"/>
    </row>
    <row r="503" spans="1:11" s="74" customFormat="1" ht="38.25">
      <c r="A503" s="71" t="s">
        <v>215</v>
      </c>
      <c r="B503" s="71" t="s">
        <v>214</v>
      </c>
      <c r="C503" s="77" t="s">
        <v>206</v>
      </c>
      <c r="D503" s="76">
        <v>78.069220000000001</v>
      </c>
      <c r="E503" s="76">
        <v>78.069220000000001</v>
      </c>
      <c r="F503" s="76">
        <v>78.069220000000001</v>
      </c>
      <c r="G503" s="77" t="s">
        <v>209</v>
      </c>
      <c r="H503" s="75"/>
      <c r="I503" s="75"/>
      <c r="J503" s="75"/>
      <c r="K503" s="75"/>
    </row>
    <row r="504" spans="1:11" s="74" customFormat="1" ht="38.25">
      <c r="A504" s="71" t="s">
        <v>213</v>
      </c>
      <c r="B504" s="79" t="s">
        <v>212</v>
      </c>
      <c r="C504" s="77" t="s">
        <v>206</v>
      </c>
      <c r="D504" s="76">
        <v>49.969470000000001</v>
      </c>
      <c r="E504" s="76">
        <v>20.728000000000002</v>
      </c>
      <c r="F504" s="76">
        <v>20.728000000000002</v>
      </c>
      <c r="G504" s="77" t="s">
        <v>209</v>
      </c>
      <c r="H504" s="75"/>
      <c r="I504" s="75"/>
      <c r="J504" s="75"/>
      <c r="K504" s="75"/>
    </row>
    <row r="505" spans="1:11" s="74" customFormat="1" ht="38.25">
      <c r="A505" s="71" t="s">
        <v>211</v>
      </c>
      <c r="B505" s="79" t="s">
        <v>210</v>
      </c>
      <c r="C505" s="77" t="s">
        <v>206</v>
      </c>
      <c r="D505" s="76">
        <v>47.45055</v>
      </c>
      <c r="E505" s="76">
        <v>14.23516</v>
      </c>
      <c r="F505" s="76">
        <v>14.23516</v>
      </c>
      <c r="G505" s="77" t="s">
        <v>209</v>
      </c>
      <c r="H505" s="75"/>
      <c r="I505" s="75"/>
      <c r="J505" s="75"/>
      <c r="K505" s="75"/>
    </row>
    <row r="506" spans="1:11" s="74" customFormat="1" ht="51">
      <c r="A506" s="71" t="s">
        <v>208</v>
      </c>
      <c r="B506" s="79" t="s">
        <v>207</v>
      </c>
      <c r="C506" s="77" t="s">
        <v>206</v>
      </c>
      <c r="D506" s="76">
        <v>299.86426</v>
      </c>
      <c r="E506" s="76">
        <v>299.86426</v>
      </c>
      <c r="F506" s="76">
        <v>299.86426</v>
      </c>
      <c r="G506" s="77" t="s">
        <v>195</v>
      </c>
      <c r="H506" s="75"/>
      <c r="I506" s="75"/>
      <c r="J506" s="75"/>
      <c r="K506" s="75"/>
    </row>
    <row r="507" spans="1:11" s="74" customFormat="1" ht="51">
      <c r="A507" s="71" t="s">
        <v>205</v>
      </c>
      <c r="B507" s="71" t="s">
        <v>204</v>
      </c>
      <c r="C507" s="77" t="s">
        <v>196</v>
      </c>
      <c r="D507" s="76">
        <v>834.75234999999998</v>
      </c>
      <c r="E507" s="76">
        <v>834.75234999999998</v>
      </c>
      <c r="F507" s="76">
        <v>834.75234999999998</v>
      </c>
      <c r="G507" s="77" t="s">
        <v>203</v>
      </c>
      <c r="H507" s="75"/>
      <c r="I507" s="75"/>
      <c r="J507" s="75"/>
      <c r="K507" s="75"/>
    </row>
    <row r="508" spans="1:11" s="74" customFormat="1" ht="38.25">
      <c r="A508" s="71" t="s">
        <v>202</v>
      </c>
      <c r="B508" s="71" t="s">
        <v>201</v>
      </c>
      <c r="C508" s="77" t="s">
        <v>196</v>
      </c>
      <c r="D508" s="76">
        <v>354</v>
      </c>
      <c r="E508" s="76">
        <v>347.97575999999998</v>
      </c>
      <c r="F508" s="76">
        <v>347.97575999999998</v>
      </c>
      <c r="G508" s="77" t="s">
        <v>159</v>
      </c>
      <c r="H508" s="75"/>
      <c r="I508" s="75"/>
      <c r="J508" s="75"/>
      <c r="K508" s="75"/>
    </row>
    <row r="509" spans="1:11" s="74" customFormat="1" ht="51">
      <c r="A509" s="71" t="s">
        <v>200</v>
      </c>
      <c r="B509" s="71" t="s">
        <v>199</v>
      </c>
      <c r="C509" s="77" t="s">
        <v>196</v>
      </c>
      <c r="D509" s="76">
        <v>103.00700000000001</v>
      </c>
      <c r="E509" s="76">
        <v>32.805950000000003</v>
      </c>
      <c r="F509" s="76">
        <v>32.805950000000003</v>
      </c>
      <c r="G509" s="77" t="s">
        <v>162</v>
      </c>
      <c r="H509" s="75"/>
      <c r="I509" s="75"/>
      <c r="J509" s="75"/>
      <c r="K509" s="75"/>
    </row>
    <row r="510" spans="1:11" s="74" customFormat="1" ht="38.25">
      <c r="A510" s="71" t="s">
        <v>198</v>
      </c>
      <c r="B510" s="71" t="s">
        <v>197</v>
      </c>
      <c r="C510" s="77" t="s">
        <v>196</v>
      </c>
      <c r="D510" s="76">
        <v>280.64062000000001</v>
      </c>
      <c r="E510" s="76">
        <v>280.64062000000001</v>
      </c>
      <c r="F510" s="76">
        <v>280.64062000000001</v>
      </c>
      <c r="G510" s="77" t="s">
        <v>195</v>
      </c>
      <c r="H510" s="75"/>
      <c r="I510" s="75"/>
      <c r="J510" s="75"/>
      <c r="K510" s="75"/>
    </row>
    <row r="511" spans="1:11" s="74" customFormat="1" ht="63.75">
      <c r="A511" s="71" t="s">
        <v>194</v>
      </c>
      <c r="B511" s="71" t="s">
        <v>193</v>
      </c>
      <c r="C511" s="77" t="s">
        <v>187</v>
      </c>
      <c r="D511" s="76">
        <v>313.4676</v>
      </c>
      <c r="E511" s="76">
        <v>313.4676</v>
      </c>
      <c r="F511" s="76">
        <v>313.4676</v>
      </c>
      <c r="G511" s="77" t="s">
        <v>190</v>
      </c>
      <c r="H511" s="75"/>
      <c r="I511" s="75"/>
      <c r="J511" s="75"/>
      <c r="K511" s="75"/>
    </row>
    <row r="512" spans="1:11" s="74" customFormat="1" ht="38.25">
      <c r="A512" s="71" t="s">
        <v>192</v>
      </c>
      <c r="B512" s="71" t="s">
        <v>191</v>
      </c>
      <c r="C512" s="77" t="s">
        <v>187</v>
      </c>
      <c r="D512" s="76">
        <v>251.53200000000001</v>
      </c>
      <c r="E512" s="76">
        <v>207.99674999999999</v>
      </c>
      <c r="F512" s="76">
        <v>207.99674999999999</v>
      </c>
      <c r="G512" s="77" t="s">
        <v>190</v>
      </c>
      <c r="H512" s="75"/>
      <c r="I512" s="75"/>
      <c r="J512" s="75"/>
      <c r="K512" s="75"/>
    </row>
    <row r="513" spans="1:11" s="74" customFormat="1" ht="63.75">
      <c r="A513" s="71" t="s">
        <v>189</v>
      </c>
      <c r="B513" s="71" t="s">
        <v>188</v>
      </c>
      <c r="C513" s="77" t="s">
        <v>187</v>
      </c>
      <c r="D513" s="76">
        <v>35</v>
      </c>
      <c r="E513" s="76">
        <v>22.315270000000002</v>
      </c>
      <c r="F513" s="76">
        <v>22.315270000000002</v>
      </c>
      <c r="G513" s="77" t="s">
        <v>186</v>
      </c>
      <c r="H513" s="75"/>
      <c r="I513" s="75"/>
      <c r="J513" s="75"/>
      <c r="K513" s="75"/>
    </row>
    <row r="514" spans="1:11" s="74" customFormat="1" ht="51">
      <c r="A514" s="78" t="s">
        <v>185</v>
      </c>
      <c r="B514" s="78" t="s">
        <v>184</v>
      </c>
      <c r="C514" s="77" t="s">
        <v>181</v>
      </c>
      <c r="D514" s="76">
        <v>69.8</v>
      </c>
      <c r="E514" s="76">
        <v>67.769599999999997</v>
      </c>
      <c r="F514" s="76">
        <v>67.769599999999997</v>
      </c>
      <c r="G514" s="77" t="s">
        <v>180</v>
      </c>
      <c r="H514" s="75"/>
      <c r="I514" s="75"/>
      <c r="J514" s="75"/>
      <c r="K514" s="75"/>
    </row>
    <row r="515" spans="1:11" s="74" customFormat="1" ht="51">
      <c r="A515" s="78" t="s">
        <v>183</v>
      </c>
      <c r="B515" s="78" t="s">
        <v>182</v>
      </c>
      <c r="C515" s="77" t="s">
        <v>181</v>
      </c>
      <c r="D515" s="76">
        <v>69.8</v>
      </c>
      <c r="E515" s="76">
        <v>70.690389999999994</v>
      </c>
      <c r="F515" s="76">
        <v>70.690389999999994</v>
      </c>
      <c r="G515" s="77" t="s">
        <v>180</v>
      </c>
      <c r="H515" s="75"/>
      <c r="I515" s="75"/>
      <c r="J515" s="75"/>
      <c r="K515" s="75"/>
    </row>
    <row r="516" spans="1:11" s="74" customFormat="1" ht="25.5">
      <c r="A516" s="71" t="s">
        <v>179</v>
      </c>
      <c r="B516" s="71" t="s">
        <v>178</v>
      </c>
      <c r="C516" s="77" t="s">
        <v>177</v>
      </c>
      <c r="D516" s="76">
        <v>572.77874999999995</v>
      </c>
      <c r="E516" s="76">
        <v>572.77874999999995</v>
      </c>
      <c r="F516" s="76">
        <v>572.77874999999995</v>
      </c>
      <c r="G516" s="76" t="s">
        <v>165</v>
      </c>
      <c r="H516" s="75"/>
      <c r="I516" s="75"/>
      <c r="J516" s="75"/>
      <c r="K516" s="75"/>
    </row>
    <row r="517" spans="1:11" s="74" customFormat="1" ht="51">
      <c r="A517" s="71" t="s">
        <v>176</v>
      </c>
      <c r="B517" s="71" t="s">
        <v>175</v>
      </c>
      <c r="C517" s="77" t="s">
        <v>149</v>
      </c>
      <c r="D517" s="76">
        <v>560.47573999999997</v>
      </c>
      <c r="E517" s="76">
        <v>560.47573999999997</v>
      </c>
      <c r="F517" s="76">
        <v>560.47573999999997</v>
      </c>
      <c r="G517" s="76" t="s">
        <v>165</v>
      </c>
      <c r="H517" s="75"/>
      <c r="I517" s="75"/>
      <c r="J517" s="75"/>
      <c r="K517" s="75"/>
    </row>
    <row r="518" spans="1:11" s="74" customFormat="1" ht="51">
      <c r="A518" s="71" t="s">
        <v>174</v>
      </c>
      <c r="B518" s="71" t="s">
        <v>173</v>
      </c>
      <c r="C518" s="77" t="s">
        <v>149</v>
      </c>
      <c r="D518" s="76">
        <v>1397.962</v>
      </c>
      <c r="E518" s="76">
        <v>965.84857999999997</v>
      </c>
      <c r="F518" s="76">
        <v>965.84857999999997</v>
      </c>
      <c r="G518" s="76" t="s">
        <v>172</v>
      </c>
      <c r="H518" s="75"/>
      <c r="I518" s="75"/>
      <c r="J518" s="75"/>
      <c r="K518" s="75"/>
    </row>
    <row r="519" spans="1:11" s="74" customFormat="1" ht="51">
      <c r="A519" s="71" t="s">
        <v>171</v>
      </c>
      <c r="B519" s="71" t="s">
        <v>170</v>
      </c>
      <c r="C519" s="77" t="s">
        <v>149</v>
      </c>
      <c r="D519" s="76">
        <v>1139.3033600000001</v>
      </c>
      <c r="E519" s="76">
        <v>1139.3033600000001</v>
      </c>
      <c r="F519" s="76">
        <v>1139.3033600000001</v>
      </c>
      <c r="G519" s="76" t="s">
        <v>165</v>
      </c>
      <c r="H519" s="75"/>
      <c r="I519" s="75"/>
      <c r="J519" s="75"/>
      <c r="K519" s="75"/>
    </row>
    <row r="520" spans="1:11" s="74" customFormat="1" ht="38.25">
      <c r="A520" s="71" t="s">
        <v>169</v>
      </c>
      <c r="B520" s="71" t="s">
        <v>168</v>
      </c>
      <c r="C520" s="77" t="s">
        <v>149</v>
      </c>
      <c r="D520" s="76">
        <v>845.67885999999999</v>
      </c>
      <c r="E520" s="76">
        <v>845.67885999999999</v>
      </c>
      <c r="F520" s="76">
        <v>845.67885999999999</v>
      </c>
      <c r="G520" s="76" t="s">
        <v>165</v>
      </c>
      <c r="H520" s="75"/>
      <c r="I520" s="75"/>
      <c r="J520" s="75"/>
      <c r="K520" s="75"/>
    </row>
    <row r="521" spans="1:11" s="74" customFormat="1" ht="51">
      <c r="A521" s="71" t="s">
        <v>167</v>
      </c>
      <c r="B521" s="71" t="s">
        <v>166</v>
      </c>
      <c r="C521" s="77" t="s">
        <v>149</v>
      </c>
      <c r="D521" s="76">
        <v>1066.0447899999999</v>
      </c>
      <c r="E521" s="76">
        <v>1066.0447899999999</v>
      </c>
      <c r="F521" s="76">
        <v>1066.0447899999999</v>
      </c>
      <c r="G521" s="76" t="s">
        <v>165</v>
      </c>
      <c r="H521" s="75"/>
      <c r="I521" s="75"/>
      <c r="J521" s="75"/>
      <c r="K521" s="75"/>
    </row>
    <row r="522" spans="1:11" s="74" customFormat="1" ht="63.75">
      <c r="A522" s="71" t="s">
        <v>164</v>
      </c>
      <c r="B522" s="71" t="s">
        <v>163</v>
      </c>
      <c r="C522" s="77" t="s">
        <v>149</v>
      </c>
      <c r="D522" s="76">
        <v>51.486539999999998</v>
      </c>
      <c r="E522" s="76">
        <v>51.486539999999998</v>
      </c>
      <c r="F522" s="76">
        <v>51.486539999999998</v>
      </c>
      <c r="G522" s="77" t="s">
        <v>162</v>
      </c>
      <c r="H522" s="75"/>
      <c r="I522" s="75"/>
      <c r="J522" s="75"/>
      <c r="K522" s="75"/>
    </row>
    <row r="523" spans="1:11" s="74" customFormat="1" ht="63.75">
      <c r="A523" s="71" t="s">
        <v>161</v>
      </c>
      <c r="B523" s="71" t="s">
        <v>160</v>
      </c>
      <c r="C523" s="77" t="s">
        <v>149</v>
      </c>
      <c r="D523" s="76">
        <v>296.98921999999999</v>
      </c>
      <c r="E523" s="76">
        <v>296.98921999999999</v>
      </c>
      <c r="F523" s="76">
        <v>296.98921999999999</v>
      </c>
      <c r="G523" s="76" t="s">
        <v>159</v>
      </c>
      <c r="H523" s="75"/>
      <c r="I523" s="75"/>
      <c r="J523" s="75"/>
      <c r="K523" s="75"/>
    </row>
    <row r="524" spans="1:11" s="74" customFormat="1" ht="38.25">
      <c r="A524" s="71" t="s">
        <v>158</v>
      </c>
      <c r="B524" s="71" t="s">
        <v>157</v>
      </c>
      <c r="C524" s="77" t="s">
        <v>149</v>
      </c>
      <c r="D524" s="76">
        <v>1208.9307799999999</v>
      </c>
      <c r="E524" s="76">
        <v>1208.9307799999999</v>
      </c>
      <c r="F524" s="76">
        <v>1208.9307799999999</v>
      </c>
      <c r="G524" s="30" t="s">
        <v>156</v>
      </c>
      <c r="H524" s="75"/>
      <c r="I524" s="75"/>
      <c r="J524" s="75"/>
      <c r="K524" s="75"/>
    </row>
    <row r="525" spans="1:11" s="74" customFormat="1" ht="51">
      <c r="A525" s="71" t="s">
        <v>155</v>
      </c>
      <c r="B525" s="71" t="s">
        <v>154</v>
      </c>
      <c r="C525" s="77" t="s">
        <v>149</v>
      </c>
      <c r="D525" s="76">
        <v>18.633389999999999</v>
      </c>
      <c r="E525" s="76">
        <v>18.633389999999999</v>
      </c>
      <c r="F525" s="76">
        <v>18.633389999999999</v>
      </c>
      <c r="G525" s="76" t="s">
        <v>148</v>
      </c>
      <c r="H525" s="75"/>
      <c r="I525" s="75"/>
      <c r="J525" s="75"/>
      <c r="K525" s="75"/>
    </row>
    <row r="526" spans="1:11" s="74" customFormat="1" ht="63.75">
      <c r="A526" s="71" t="s">
        <v>153</v>
      </c>
      <c r="B526" s="71" t="s">
        <v>152</v>
      </c>
      <c r="C526" s="77" t="s">
        <v>149</v>
      </c>
      <c r="D526" s="76">
        <v>67.293350000000004</v>
      </c>
      <c r="E526" s="76">
        <v>67.293350000000004</v>
      </c>
      <c r="F526" s="76">
        <v>67.293350000000004</v>
      </c>
      <c r="G526" s="76" t="s">
        <v>148</v>
      </c>
      <c r="H526" s="75"/>
      <c r="I526" s="75"/>
      <c r="J526" s="75"/>
      <c r="K526" s="75"/>
    </row>
    <row r="527" spans="1:11" s="74" customFormat="1" ht="63.75">
      <c r="A527" s="71" t="s">
        <v>151</v>
      </c>
      <c r="B527" s="71" t="s">
        <v>150</v>
      </c>
      <c r="C527" s="77" t="s">
        <v>149</v>
      </c>
      <c r="D527" s="76">
        <v>46.423679999999997</v>
      </c>
      <c r="E527" s="76">
        <v>46.423679999999997</v>
      </c>
      <c r="F527" s="76">
        <v>46.423679999999997</v>
      </c>
      <c r="G527" s="76" t="s">
        <v>148</v>
      </c>
      <c r="H527" s="75"/>
      <c r="I527" s="75"/>
      <c r="J527" s="75"/>
      <c r="K527" s="75"/>
    </row>
    <row r="528" spans="1:11" s="74" customFormat="1" ht="102">
      <c r="A528" s="71" t="s">
        <v>147</v>
      </c>
      <c r="B528" s="71" t="s">
        <v>147</v>
      </c>
      <c r="C528" s="77" t="s">
        <v>146</v>
      </c>
      <c r="D528" s="76">
        <v>4000</v>
      </c>
      <c r="E528" s="76">
        <v>66.496920000000003</v>
      </c>
      <c r="F528" s="76">
        <v>66.496920000000003</v>
      </c>
      <c r="G528" s="76"/>
      <c r="H528" s="75"/>
      <c r="I528" s="75"/>
      <c r="J528" s="75"/>
      <c r="K528" s="75"/>
    </row>
    <row r="529" spans="1:11" s="74" customFormat="1" ht="15">
      <c r="A529" s="59"/>
      <c r="B529" s="58" t="s">
        <v>1</v>
      </c>
      <c r="C529" s="56" t="s">
        <v>0</v>
      </c>
      <c r="D529" s="57">
        <f>SUM(D495:D528)</f>
        <v>21589.829969999995</v>
      </c>
      <c r="E529" s="57">
        <f>SUM(E497:E528)</f>
        <v>13513.53988</v>
      </c>
      <c r="F529" s="57">
        <f>SUM(F497:F528)</f>
        <v>13513.540229999999</v>
      </c>
      <c r="G529" s="56" t="s">
        <v>0</v>
      </c>
      <c r="H529" s="75"/>
      <c r="I529" s="75"/>
      <c r="J529" s="75"/>
      <c r="K529" s="75"/>
    </row>
    <row r="530" spans="1:11" s="2" customFormat="1">
      <c r="A530" s="53" t="s">
        <v>145</v>
      </c>
      <c r="B530" s="53"/>
      <c r="C530" s="53"/>
      <c r="D530" s="53"/>
      <c r="E530" s="53"/>
      <c r="F530" s="53"/>
      <c r="G530" s="53"/>
    </row>
    <row r="531" spans="1:11" s="60" customFormat="1" ht="26.25">
      <c r="A531" s="71" t="s">
        <v>142</v>
      </c>
      <c r="B531" s="73" t="s">
        <v>144</v>
      </c>
      <c r="C531" s="73" t="s">
        <v>144</v>
      </c>
      <c r="D531" s="69">
        <v>75.698999999999998</v>
      </c>
      <c r="E531" s="69">
        <v>75.698999999999998</v>
      </c>
      <c r="F531" s="69">
        <v>75.698999999999998</v>
      </c>
      <c r="G531" s="72" t="s">
        <v>143</v>
      </c>
      <c r="H531" s="61"/>
      <c r="I531" s="61"/>
      <c r="J531" s="61"/>
      <c r="K531" s="61"/>
    </row>
    <row r="532" spans="1:11" s="60" customFormat="1" ht="15">
      <c r="A532" s="71" t="s">
        <v>142</v>
      </c>
      <c r="B532" s="73" t="s">
        <v>141</v>
      </c>
      <c r="C532" s="73" t="s">
        <v>141</v>
      </c>
      <c r="D532" s="69">
        <v>4.1440000000000001</v>
      </c>
      <c r="E532" s="69">
        <v>4.1440000000000001</v>
      </c>
      <c r="F532" s="69">
        <v>4.1440000000000001</v>
      </c>
      <c r="G532" s="69" t="s">
        <v>137</v>
      </c>
      <c r="H532" s="61"/>
      <c r="I532" s="61"/>
      <c r="J532" s="61"/>
      <c r="K532" s="61"/>
    </row>
    <row r="533" spans="1:11" s="60" customFormat="1" ht="15">
      <c r="A533" s="71" t="s">
        <v>142</v>
      </c>
      <c r="B533" s="73" t="s">
        <v>141</v>
      </c>
      <c r="C533" s="73" t="s">
        <v>141</v>
      </c>
      <c r="D533" s="69">
        <v>1.6639999999999999</v>
      </c>
      <c r="E533" s="69">
        <v>1.6639999999999999</v>
      </c>
      <c r="F533" s="69">
        <v>1.6639999999999999</v>
      </c>
      <c r="G533" s="69" t="s">
        <v>137</v>
      </c>
      <c r="H533" s="61"/>
      <c r="I533" s="61"/>
      <c r="J533" s="61"/>
      <c r="K533" s="61"/>
    </row>
    <row r="534" spans="1:11" s="60" customFormat="1" ht="26.25">
      <c r="A534" s="71" t="s">
        <v>140</v>
      </c>
      <c r="B534" s="73" t="s">
        <v>139</v>
      </c>
      <c r="C534" s="69" t="s">
        <v>13</v>
      </c>
      <c r="D534" s="69">
        <v>7.3680000000000003</v>
      </c>
      <c r="E534" s="69">
        <v>7.3680000000000003</v>
      </c>
      <c r="F534" s="69">
        <v>7.3680000000000003</v>
      </c>
      <c r="G534" s="69" t="s">
        <v>137</v>
      </c>
      <c r="H534" s="61"/>
      <c r="I534" s="61"/>
      <c r="J534" s="61"/>
      <c r="K534" s="61"/>
    </row>
    <row r="535" spans="1:11" s="60" customFormat="1" ht="26.25">
      <c r="A535" s="71" t="s">
        <v>125</v>
      </c>
      <c r="B535" s="73" t="s">
        <v>138</v>
      </c>
      <c r="C535" s="69" t="s">
        <v>13</v>
      </c>
      <c r="D535" s="69">
        <v>6.94</v>
      </c>
      <c r="E535" s="69">
        <v>6.94</v>
      </c>
      <c r="F535" s="69">
        <v>6.94</v>
      </c>
      <c r="G535" s="69" t="s">
        <v>137</v>
      </c>
      <c r="H535" s="61"/>
      <c r="I535" s="61"/>
      <c r="J535" s="61"/>
      <c r="K535" s="61"/>
    </row>
    <row r="536" spans="1:11" s="60" customFormat="1" ht="26.25">
      <c r="A536" s="72" t="s">
        <v>135</v>
      </c>
      <c r="B536" s="72" t="s">
        <v>135</v>
      </c>
      <c r="C536" s="69" t="s">
        <v>13</v>
      </c>
      <c r="D536" s="69">
        <v>1.8779999999999999</v>
      </c>
      <c r="E536" s="69">
        <v>1.8779999999999999</v>
      </c>
      <c r="F536" s="69">
        <v>1.8779999999999999</v>
      </c>
      <c r="G536" s="69" t="s">
        <v>137</v>
      </c>
      <c r="H536" s="61"/>
      <c r="I536" s="61"/>
      <c r="J536" s="61"/>
      <c r="K536" s="61"/>
    </row>
    <row r="537" spans="1:11" s="60" customFormat="1" ht="15">
      <c r="A537" s="69" t="s">
        <v>13</v>
      </c>
      <c r="B537" s="69" t="s">
        <v>13</v>
      </c>
      <c r="C537" s="69" t="s">
        <v>13</v>
      </c>
      <c r="D537" s="69">
        <v>2.06</v>
      </c>
      <c r="E537" s="69">
        <v>2.06</v>
      </c>
      <c r="F537" s="69">
        <v>2.06</v>
      </c>
      <c r="G537" s="69" t="s">
        <v>137</v>
      </c>
      <c r="H537" s="61"/>
      <c r="I537" s="61"/>
      <c r="J537" s="61"/>
      <c r="K537" s="61"/>
    </row>
    <row r="538" spans="1:11" s="60" customFormat="1" ht="25.5">
      <c r="A538" s="71" t="s">
        <v>136</v>
      </c>
      <c r="B538" s="71" t="s">
        <v>136</v>
      </c>
      <c r="C538" s="69" t="s">
        <v>13</v>
      </c>
      <c r="D538" s="69">
        <v>2.7450000000000001</v>
      </c>
      <c r="E538" s="69">
        <v>2.7450000000000001</v>
      </c>
      <c r="F538" s="69">
        <v>2.7450000000000001</v>
      </c>
      <c r="G538" s="69" t="s">
        <v>137</v>
      </c>
      <c r="H538" s="61"/>
      <c r="I538" s="61"/>
      <c r="J538" s="61"/>
      <c r="K538" s="61"/>
    </row>
    <row r="539" spans="1:11" s="60" customFormat="1" ht="25.5">
      <c r="A539" s="71" t="s">
        <v>136</v>
      </c>
      <c r="B539" s="71" t="s">
        <v>136</v>
      </c>
      <c r="C539" s="64" t="s">
        <v>132</v>
      </c>
      <c r="D539" s="69">
        <v>106.218</v>
      </c>
      <c r="E539" s="69">
        <v>106.218</v>
      </c>
      <c r="F539" s="69">
        <v>106.218</v>
      </c>
      <c r="G539" s="69" t="s">
        <v>131</v>
      </c>
      <c r="H539" s="61"/>
      <c r="I539" s="61"/>
      <c r="J539" s="61"/>
      <c r="K539" s="61"/>
    </row>
    <row r="540" spans="1:11" s="60" customFormat="1" ht="26.25">
      <c r="A540" s="72" t="s">
        <v>135</v>
      </c>
      <c r="B540" s="64" t="s">
        <v>132</v>
      </c>
      <c r="C540" s="64" t="s">
        <v>132</v>
      </c>
      <c r="D540" s="69">
        <v>106.19</v>
      </c>
      <c r="E540" s="69">
        <v>106.19</v>
      </c>
      <c r="F540" s="69">
        <v>106.19</v>
      </c>
      <c r="G540" s="69" t="s">
        <v>131</v>
      </c>
      <c r="H540" s="61"/>
      <c r="I540" s="61"/>
      <c r="J540" s="61"/>
      <c r="K540" s="61"/>
    </row>
    <row r="541" spans="1:11" s="60" customFormat="1" ht="25.5">
      <c r="A541" s="71" t="s">
        <v>134</v>
      </c>
      <c r="B541" s="64" t="s">
        <v>132</v>
      </c>
      <c r="C541" s="64" t="s">
        <v>132</v>
      </c>
      <c r="D541" s="69">
        <v>96.64</v>
      </c>
      <c r="E541" s="69">
        <v>96.64</v>
      </c>
      <c r="F541" s="69">
        <v>96.64</v>
      </c>
      <c r="G541" s="69" t="s">
        <v>131</v>
      </c>
      <c r="H541" s="61"/>
      <c r="I541" s="61"/>
      <c r="J541" s="61"/>
      <c r="K541" s="61"/>
    </row>
    <row r="542" spans="1:11" s="60" customFormat="1" ht="25.5">
      <c r="A542" s="71" t="s">
        <v>133</v>
      </c>
      <c r="B542" s="64" t="s">
        <v>132</v>
      </c>
      <c r="C542" s="64" t="s">
        <v>132</v>
      </c>
      <c r="D542" s="69">
        <v>62.216999999999999</v>
      </c>
      <c r="E542" s="69">
        <v>62.216999999999999</v>
      </c>
      <c r="F542" s="69">
        <v>62.216999999999999</v>
      </c>
      <c r="G542" s="69" t="s">
        <v>131</v>
      </c>
      <c r="H542" s="61"/>
      <c r="I542" s="61"/>
      <c r="J542" s="61"/>
      <c r="K542" s="61"/>
    </row>
    <row r="543" spans="1:11" s="60" customFormat="1" ht="25.5">
      <c r="A543" s="71" t="s">
        <v>130</v>
      </c>
      <c r="B543" s="64" t="s">
        <v>129</v>
      </c>
      <c r="C543" s="64" t="s">
        <v>129</v>
      </c>
      <c r="D543" s="69">
        <v>818.49300000000005</v>
      </c>
      <c r="E543" s="69">
        <v>204.185</v>
      </c>
      <c r="F543" s="69">
        <v>204.185</v>
      </c>
      <c r="G543" s="69"/>
      <c r="H543" s="61"/>
      <c r="I543" s="61"/>
      <c r="J543" s="61"/>
      <c r="K543" s="61"/>
    </row>
    <row r="544" spans="1:11" s="60" customFormat="1" ht="26.25">
      <c r="A544" s="71" t="s">
        <v>128</v>
      </c>
      <c r="B544" s="64" t="s">
        <v>118</v>
      </c>
      <c r="C544" s="64" t="s">
        <v>118</v>
      </c>
      <c r="D544" s="69">
        <v>2090.8879999999999</v>
      </c>
      <c r="E544" s="70">
        <v>1799.999</v>
      </c>
      <c r="F544" s="69">
        <v>899.99951999999996</v>
      </c>
      <c r="G544" s="72" t="s">
        <v>124</v>
      </c>
      <c r="H544" s="61"/>
      <c r="I544" s="61"/>
      <c r="J544" s="61"/>
      <c r="K544" s="61"/>
    </row>
    <row r="545" spans="1:11" s="60" customFormat="1" ht="26.25">
      <c r="A545" s="71" t="s">
        <v>127</v>
      </c>
      <c r="B545" s="64" t="s">
        <v>118</v>
      </c>
      <c r="C545" s="64" t="s">
        <v>118</v>
      </c>
      <c r="D545" s="69">
        <v>1537.0820000000001</v>
      </c>
      <c r="E545" s="70">
        <v>1399.999</v>
      </c>
      <c r="F545" s="69">
        <v>700</v>
      </c>
      <c r="G545" s="72" t="s">
        <v>124</v>
      </c>
      <c r="H545" s="61"/>
      <c r="I545" s="61"/>
      <c r="J545" s="61"/>
      <c r="K545" s="61"/>
    </row>
    <row r="546" spans="1:11" s="60" customFormat="1" ht="26.25">
      <c r="A546" s="71" t="s">
        <v>126</v>
      </c>
      <c r="B546" s="64" t="s">
        <v>118</v>
      </c>
      <c r="C546" s="64" t="s">
        <v>118</v>
      </c>
      <c r="D546" s="69">
        <v>2719.4229999999998</v>
      </c>
      <c r="E546" s="70">
        <v>2469.2339999999999</v>
      </c>
      <c r="F546" s="69">
        <v>1234.617</v>
      </c>
      <c r="G546" s="72" t="s">
        <v>124</v>
      </c>
      <c r="H546" s="61"/>
      <c r="I546" s="61"/>
      <c r="J546" s="61"/>
      <c r="K546" s="61"/>
    </row>
    <row r="547" spans="1:11" s="60" customFormat="1" ht="26.25">
      <c r="A547" s="71" t="s">
        <v>125</v>
      </c>
      <c r="B547" s="64" t="s">
        <v>118</v>
      </c>
      <c r="C547" s="64" t="s">
        <v>118</v>
      </c>
      <c r="D547" s="69">
        <v>1100</v>
      </c>
      <c r="E547" s="69">
        <v>1000</v>
      </c>
      <c r="F547" s="69">
        <v>4.2672699999999999</v>
      </c>
      <c r="G547" s="72" t="s">
        <v>124</v>
      </c>
      <c r="H547" s="61"/>
      <c r="I547" s="61"/>
      <c r="J547" s="61"/>
      <c r="K547" s="61"/>
    </row>
    <row r="548" spans="1:11" s="60" customFormat="1" ht="63.75">
      <c r="A548" s="71" t="s">
        <v>123</v>
      </c>
      <c r="B548" s="64" t="s">
        <v>122</v>
      </c>
      <c r="C548" s="64" t="s">
        <v>118</v>
      </c>
      <c r="D548" s="69">
        <v>1260.3510000000001</v>
      </c>
      <c r="E548" s="69">
        <v>211.791</v>
      </c>
      <c r="F548" s="69">
        <v>211.791</v>
      </c>
      <c r="G548" s="69" t="s">
        <v>117</v>
      </c>
      <c r="H548" s="61"/>
      <c r="I548" s="61"/>
      <c r="J548" s="61"/>
      <c r="K548" s="61"/>
    </row>
    <row r="549" spans="1:11" s="60" customFormat="1" ht="51">
      <c r="A549" s="65" t="s">
        <v>121</v>
      </c>
      <c r="B549" s="64" t="s">
        <v>86</v>
      </c>
      <c r="C549" s="64" t="s">
        <v>118</v>
      </c>
      <c r="D549" s="70">
        <v>31.050999999999998</v>
      </c>
      <c r="E549" s="70">
        <v>31.050999999999998</v>
      </c>
      <c r="F549" s="70">
        <v>31.050999999999998</v>
      </c>
      <c r="G549" s="69" t="s">
        <v>117</v>
      </c>
      <c r="H549" s="61"/>
      <c r="I549" s="61"/>
      <c r="J549" s="61"/>
      <c r="K549" s="61"/>
    </row>
    <row r="550" spans="1:11" s="60" customFormat="1" ht="15">
      <c r="A550" s="65" t="s">
        <v>120</v>
      </c>
      <c r="B550" s="64" t="s">
        <v>86</v>
      </c>
      <c r="C550" s="64" t="s">
        <v>118</v>
      </c>
      <c r="D550" s="70">
        <v>23.032</v>
      </c>
      <c r="E550" s="70">
        <v>23.032</v>
      </c>
      <c r="F550" s="70">
        <v>23.032</v>
      </c>
      <c r="G550" s="69" t="s">
        <v>117</v>
      </c>
      <c r="H550" s="61"/>
      <c r="I550" s="61"/>
      <c r="J550" s="61"/>
      <c r="K550" s="61"/>
    </row>
    <row r="551" spans="1:11" s="60" customFormat="1" ht="38.25">
      <c r="A551" s="65" t="s">
        <v>119</v>
      </c>
      <c r="B551" s="64" t="s">
        <v>86</v>
      </c>
      <c r="C551" s="64" t="s">
        <v>118</v>
      </c>
      <c r="D551" s="70">
        <v>58.003</v>
      </c>
      <c r="E551" s="70">
        <v>58.003</v>
      </c>
      <c r="F551" s="70">
        <v>58.003</v>
      </c>
      <c r="G551" s="69" t="s">
        <v>117</v>
      </c>
      <c r="H551" s="61"/>
      <c r="I551" s="61"/>
      <c r="J551" s="61"/>
      <c r="K551" s="61"/>
    </row>
    <row r="552" spans="1:11" s="60" customFormat="1" ht="25.5">
      <c r="A552" s="68" t="s">
        <v>116</v>
      </c>
      <c r="B552" s="64" t="s">
        <v>105</v>
      </c>
      <c r="C552" s="64" t="s">
        <v>105</v>
      </c>
      <c r="D552" s="67">
        <v>210.83267000000001</v>
      </c>
      <c r="E552" s="67">
        <v>210.83267000000001</v>
      </c>
      <c r="F552" s="67">
        <v>210.83267000000001</v>
      </c>
      <c r="G552" s="62" t="s">
        <v>115</v>
      </c>
      <c r="H552" s="61"/>
      <c r="I552" s="61"/>
      <c r="J552" s="61"/>
      <c r="K552" s="61"/>
    </row>
    <row r="553" spans="1:11" s="60" customFormat="1" ht="38.25">
      <c r="A553" s="65" t="s">
        <v>108</v>
      </c>
      <c r="B553" s="64" t="s">
        <v>86</v>
      </c>
      <c r="C553" s="64" t="s">
        <v>105</v>
      </c>
      <c r="D553" s="67">
        <v>24.450949999999999</v>
      </c>
      <c r="E553" s="67">
        <v>24.450949999999999</v>
      </c>
      <c r="F553" s="67">
        <v>24.450949999999999</v>
      </c>
      <c r="G553" s="62" t="s">
        <v>85</v>
      </c>
      <c r="H553" s="61"/>
      <c r="I553" s="61"/>
      <c r="J553" s="61"/>
      <c r="K553" s="61"/>
    </row>
    <row r="554" spans="1:11" s="60" customFormat="1" ht="25.5">
      <c r="A554" s="65" t="s">
        <v>114</v>
      </c>
      <c r="B554" s="64" t="s">
        <v>86</v>
      </c>
      <c r="C554" s="64" t="s">
        <v>105</v>
      </c>
      <c r="D554" s="67">
        <v>37.157260000000001</v>
      </c>
      <c r="E554" s="67">
        <v>37.157260000000001</v>
      </c>
      <c r="F554" s="67">
        <v>37.157260000000001</v>
      </c>
      <c r="G554" s="62" t="s">
        <v>85</v>
      </c>
      <c r="H554" s="61"/>
      <c r="I554" s="61"/>
      <c r="J554" s="61"/>
      <c r="K554" s="61"/>
    </row>
    <row r="555" spans="1:11" s="60" customFormat="1" ht="38.25">
      <c r="A555" s="65" t="s">
        <v>113</v>
      </c>
      <c r="B555" s="64" t="s">
        <v>90</v>
      </c>
      <c r="C555" s="64" t="s">
        <v>105</v>
      </c>
      <c r="D555" s="67">
        <v>5.6783999999999999</v>
      </c>
      <c r="E555" s="67">
        <v>5.6783999999999999</v>
      </c>
      <c r="F555" s="67">
        <v>5.6783999999999999</v>
      </c>
      <c r="G555" s="62" t="s">
        <v>89</v>
      </c>
      <c r="H555" s="61"/>
      <c r="I555" s="61"/>
      <c r="J555" s="61"/>
      <c r="K555" s="61"/>
    </row>
    <row r="556" spans="1:11" s="60" customFormat="1" ht="38.25">
      <c r="A556" s="65" t="s">
        <v>112</v>
      </c>
      <c r="B556" s="64" t="s">
        <v>93</v>
      </c>
      <c r="C556" s="64" t="s">
        <v>105</v>
      </c>
      <c r="D556" s="67">
        <v>1.62</v>
      </c>
      <c r="E556" s="67">
        <v>1.62</v>
      </c>
      <c r="F556" s="67">
        <v>1.62</v>
      </c>
      <c r="G556" s="62" t="s">
        <v>85</v>
      </c>
      <c r="H556" s="61"/>
      <c r="I556" s="61"/>
      <c r="J556" s="61"/>
      <c r="K556" s="61"/>
    </row>
    <row r="557" spans="1:11" s="60" customFormat="1" ht="25.5">
      <c r="A557" s="65" t="s">
        <v>111</v>
      </c>
      <c r="B557" s="64" t="s">
        <v>90</v>
      </c>
      <c r="C557" s="64" t="s">
        <v>105</v>
      </c>
      <c r="D557" s="67">
        <v>9.5077499999999997</v>
      </c>
      <c r="E557" s="67">
        <v>9.5077499999999997</v>
      </c>
      <c r="F557" s="67">
        <v>9.5077499999999997</v>
      </c>
      <c r="G557" s="62" t="s">
        <v>89</v>
      </c>
      <c r="H557" s="61"/>
      <c r="I557" s="61"/>
      <c r="J557" s="61"/>
      <c r="K557" s="61"/>
    </row>
    <row r="558" spans="1:11" s="60" customFormat="1" ht="25.5">
      <c r="A558" s="65" t="s">
        <v>110</v>
      </c>
      <c r="B558" s="64" t="s">
        <v>93</v>
      </c>
      <c r="C558" s="64" t="s">
        <v>105</v>
      </c>
      <c r="D558" s="67">
        <v>1.62</v>
      </c>
      <c r="E558" s="67">
        <v>1.62</v>
      </c>
      <c r="F558" s="67">
        <v>1.62</v>
      </c>
      <c r="G558" s="62" t="s">
        <v>85</v>
      </c>
      <c r="H558" s="61"/>
      <c r="I558" s="61"/>
      <c r="J558" s="61"/>
      <c r="K558" s="61"/>
    </row>
    <row r="559" spans="1:11" s="60" customFormat="1" ht="51">
      <c r="A559" s="65" t="s">
        <v>109</v>
      </c>
      <c r="B559" s="64" t="s">
        <v>86</v>
      </c>
      <c r="C559" s="64" t="s">
        <v>100</v>
      </c>
      <c r="D559" s="63">
        <v>39.970320000000001</v>
      </c>
      <c r="E559" s="63">
        <v>39.970320000000001</v>
      </c>
      <c r="F559" s="63">
        <v>39.970320000000001</v>
      </c>
      <c r="G559" s="62" t="s">
        <v>85</v>
      </c>
      <c r="H559" s="61"/>
      <c r="I559" s="61"/>
      <c r="J559" s="61"/>
      <c r="K559" s="61"/>
    </row>
    <row r="560" spans="1:11" s="60" customFormat="1" ht="38.25">
      <c r="A560" s="65" t="s">
        <v>108</v>
      </c>
      <c r="B560" s="64" t="s">
        <v>105</v>
      </c>
      <c r="C560" s="64" t="s">
        <v>105</v>
      </c>
      <c r="D560" s="63">
        <v>342.33969000000002</v>
      </c>
      <c r="E560" s="63">
        <v>342.33969000000002</v>
      </c>
      <c r="F560" s="63">
        <v>342.33969000000002</v>
      </c>
      <c r="G560" s="62" t="s">
        <v>107</v>
      </c>
      <c r="H560" s="61"/>
      <c r="I560" s="61"/>
      <c r="J560" s="61"/>
      <c r="K560" s="61"/>
    </row>
    <row r="561" spans="1:11" s="60" customFormat="1" ht="25.5">
      <c r="A561" s="65" t="s">
        <v>106</v>
      </c>
      <c r="B561" s="64" t="s">
        <v>105</v>
      </c>
      <c r="C561" s="64" t="s">
        <v>105</v>
      </c>
      <c r="D561" s="63">
        <v>577.62594999999999</v>
      </c>
      <c r="E561" s="63">
        <v>577.62594999999999</v>
      </c>
      <c r="F561" s="63">
        <v>577.62594999999999</v>
      </c>
      <c r="G561" s="62" t="s">
        <v>104</v>
      </c>
      <c r="H561" s="61"/>
      <c r="I561" s="61"/>
      <c r="J561" s="61"/>
      <c r="K561" s="61"/>
    </row>
    <row r="562" spans="1:11" s="60" customFormat="1" ht="51">
      <c r="A562" s="65" t="s">
        <v>103</v>
      </c>
      <c r="B562" s="64" t="s">
        <v>90</v>
      </c>
      <c r="C562" s="64" t="s">
        <v>100</v>
      </c>
      <c r="D562" s="63">
        <v>12.45684</v>
      </c>
      <c r="E562" s="63">
        <v>12.45684</v>
      </c>
      <c r="F562" s="63">
        <v>12.45684</v>
      </c>
      <c r="G562" s="62" t="s">
        <v>102</v>
      </c>
      <c r="H562" s="61"/>
      <c r="I562" s="61"/>
      <c r="J562" s="61"/>
      <c r="K562" s="61"/>
    </row>
    <row r="563" spans="1:11" s="60" customFormat="1" ht="51">
      <c r="A563" s="65" t="s">
        <v>101</v>
      </c>
      <c r="B563" s="64" t="s">
        <v>93</v>
      </c>
      <c r="C563" s="64" t="s">
        <v>100</v>
      </c>
      <c r="D563" s="63">
        <v>2.16</v>
      </c>
      <c r="E563" s="63">
        <v>2.16</v>
      </c>
      <c r="F563" s="63">
        <v>2.16</v>
      </c>
      <c r="G563" s="62" t="s">
        <v>85</v>
      </c>
      <c r="H563" s="61"/>
      <c r="I563" s="61"/>
      <c r="J563" s="61"/>
      <c r="K563" s="61"/>
    </row>
    <row r="564" spans="1:11" s="60" customFormat="1" ht="38.25">
      <c r="A564" s="65" t="s">
        <v>99</v>
      </c>
      <c r="B564" s="64" t="s">
        <v>93</v>
      </c>
      <c r="C564" s="64" t="s">
        <v>83</v>
      </c>
      <c r="D564" s="63">
        <v>6.4210500000000001</v>
      </c>
      <c r="E564" s="63">
        <v>6.4210500000000001</v>
      </c>
      <c r="F564" s="63">
        <v>6.4210500000000001</v>
      </c>
      <c r="G564" s="62" t="s">
        <v>15</v>
      </c>
      <c r="H564" s="61"/>
      <c r="I564" s="61"/>
      <c r="J564" s="61"/>
      <c r="K564" s="61"/>
    </row>
    <row r="565" spans="1:11" s="60" customFormat="1" ht="38.25">
      <c r="A565" s="65" t="s">
        <v>99</v>
      </c>
      <c r="B565" s="64" t="s">
        <v>90</v>
      </c>
      <c r="C565" s="64" t="s">
        <v>83</v>
      </c>
      <c r="D565" s="63">
        <v>24.338360000000002</v>
      </c>
      <c r="E565" s="63">
        <v>24.338360000000002</v>
      </c>
      <c r="F565" s="63">
        <v>24.338360000000002</v>
      </c>
      <c r="G565" s="66" t="s">
        <v>98</v>
      </c>
      <c r="H565" s="61"/>
      <c r="I565" s="61"/>
      <c r="J565" s="61"/>
      <c r="K565" s="61"/>
    </row>
    <row r="566" spans="1:11" s="60" customFormat="1" ht="38.25">
      <c r="A566" s="65" t="s">
        <v>91</v>
      </c>
      <c r="B566" s="64" t="s">
        <v>95</v>
      </c>
      <c r="C566" s="64" t="s">
        <v>83</v>
      </c>
      <c r="D566" s="63">
        <v>3.2304900000000001</v>
      </c>
      <c r="E566" s="63">
        <v>3.2304900000000001</v>
      </c>
      <c r="F566" s="63">
        <v>3.2304900000000001</v>
      </c>
      <c r="G566" s="62" t="s">
        <v>92</v>
      </c>
      <c r="H566" s="61"/>
      <c r="I566" s="61"/>
      <c r="J566" s="61"/>
      <c r="K566" s="61"/>
    </row>
    <row r="567" spans="1:11" s="60" customFormat="1" ht="38.25">
      <c r="A567" s="65" t="s">
        <v>97</v>
      </c>
      <c r="B567" s="64" t="s">
        <v>95</v>
      </c>
      <c r="C567" s="64" t="s">
        <v>83</v>
      </c>
      <c r="D567" s="63">
        <v>4.7601100000000001</v>
      </c>
      <c r="E567" s="63">
        <v>4.7601100000000001</v>
      </c>
      <c r="F567" s="63">
        <v>4.7601100000000001</v>
      </c>
      <c r="G567" s="62" t="s">
        <v>92</v>
      </c>
      <c r="H567" s="61"/>
      <c r="I567" s="61"/>
      <c r="J567" s="61"/>
      <c r="K567" s="61"/>
    </row>
    <row r="568" spans="1:11" s="60" customFormat="1" ht="38.25">
      <c r="A568" s="65" t="s">
        <v>96</v>
      </c>
      <c r="B568" s="64" t="s">
        <v>95</v>
      </c>
      <c r="C568" s="64" t="s">
        <v>83</v>
      </c>
      <c r="D568" s="63">
        <v>6.1338699999999999</v>
      </c>
      <c r="E568" s="63">
        <v>6.1338699999999999</v>
      </c>
      <c r="F568" s="63">
        <v>6.1338699999999999</v>
      </c>
      <c r="G568" s="62" t="s">
        <v>92</v>
      </c>
      <c r="H568" s="61"/>
      <c r="I568" s="61"/>
      <c r="J568" s="61"/>
      <c r="K568" s="61"/>
    </row>
    <row r="569" spans="1:11" s="60" customFormat="1" ht="38.25">
      <c r="A569" s="65" t="s">
        <v>94</v>
      </c>
      <c r="B569" s="64" t="s">
        <v>93</v>
      </c>
      <c r="C569" s="64" t="s">
        <v>83</v>
      </c>
      <c r="D569" s="63">
        <v>3.24</v>
      </c>
      <c r="E569" s="63">
        <v>3.24</v>
      </c>
      <c r="F569" s="63">
        <v>3.24</v>
      </c>
      <c r="G569" s="62" t="s">
        <v>92</v>
      </c>
      <c r="H569" s="61"/>
      <c r="I569" s="61"/>
      <c r="J569" s="61"/>
      <c r="K569" s="61"/>
    </row>
    <row r="570" spans="1:11" s="60" customFormat="1" ht="38.25">
      <c r="A570" s="65" t="s">
        <v>91</v>
      </c>
      <c r="B570" s="64" t="s">
        <v>90</v>
      </c>
      <c r="C570" s="64" t="s">
        <v>83</v>
      </c>
      <c r="D570" s="63">
        <v>15.584210000000001</v>
      </c>
      <c r="E570" s="63">
        <v>15.584210000000001</v>
      </c>
      <c r="F570" s="63">
        <v>15.584210000000001</v>
      </c>
      <c r="G570" s="62" t="s">
        <v>89</v>
      </c>
      <c r="H570" s="61"/>
      <c r="I570" s="61"/>
      <c r="J570" s="61"/>
      <c r="K570" s="61"/>
    </row>
    <row r="571" spans="1:11" s="60" customFormat="1" ht="25.5">
      <c r="A571" s="65" t="s">
        <v>88</v>
      </c>
      <c r="B571" s="64" t="s">
        <v>86</v>
      </c>
      <c r="C571" s="64" t="s">
        <v>83</v>
      </c>
      <c r="D571" s="63">
        <v>61.163420000000002</v>
      </c>
      <c r="E571" s="63">
        <v>61.163420000000002</v>
      </c>
      <c r="F571" s="63">
        <v>61.163420000000002</v>
      </c>
      <c r="G571" s="62" t="s">
        <v>85</v>
      </c>
      <c r="H571" s="61"/>
      <c r="I571" s="61"/>
      <c r="J571" s="61"/>
      <c r="K571" s="61"/>
    </row>
    <row r="572" spans="1:11" s="60" customFormat="1" ht="51">
      <c r="A572" s="65" t="s">
        <v>87</v>
      </c>
      <c r="B572" s="64" t="s">
        <v>86</v>
      </c>
      <c r="C572" s="64" t="s">
        <v>83</v>
      </c>
      <c r="D572" s="63">
        <v>83.722650000000002</v>
      </c>
      <c r="E572" s="63">
        <v>83.722650000000002</v>
      </c>
      <c r="F572" s="63">
        <v>83.722650000000002</v>
      </c>
      <c r="G572" s="62" t="s">
        <v>85</v>
      </c>
      <c r="H572" s="61"/>
      <c r="I572" s="61"/>
      <c r="J572" s="61"/>
      <c r="K572" s="61"/>
    </row>
    <row r="573" spans="1:11" s="60" customFormat="1" ht="51">
      <c r="A573" s="65" t="s">
        <v>84</v>
      </c>
      <c r="B573" s="64" t="s">
        <v>83</v>
      </c>
      <c r="C573" s="64" t="s">
        <v>83</v>
      </c>
      <c r="D573" s="63">
        <v>972.53520000000003</v>
      </c>
      <c r="E573" s="63">
        <v>972.53520000000003</v>
      </c>
      <c r="F573" s="63">
        <v>972.53520000000003</v>
      </c>
      <c r="G573" s="62" t="s">
        <v>82</v>
      </c>
      <c r="H573" s="61"/>
      <c r="I573" s="61"/>
      <c r="J573" s="61"/>
      <c r="K573" s="61"/>
    </row>
    <row r="574" spans="1:11" s="54" customFormat="1" ht="14.25">
      <c r="A574" s="59"/>
      <c r="B574" s="58" t="s">
        <v>1</v>
      </c>
      <c r="C574" s="56" t="s">
        <v>0</v>
      </c>
      <c r="D574" s="57">
        <f>SUM(D531:D573)</f>
        <v>12558.635190000006</v>
      </c>
      <c r="E574" s="57">
        <f>SUM(E531:E573)</f>
        <v>10117.606190000002</v>
      </c>
      <c r="F574" s="57">
        <f>SUM(F531:F573)</f>
        <v>6287.2579799999985</v>
      </c>
      <c r="G574" s="56" t="s">
        <v>0</v>
      </c>
      <c r="H574" s="55"/>
      <c r="I574" s="55"/>
      <c r="J574" s="55"/>
      <c r="K574" s="55"/>
    </row>
    <row r="575" spans="1:11" s="54" customFormat="1" ht="14.25">
      <c r="A575" s="59"/>
      <c r="B575" s="58"/>
      <c r="C575" s="56"/>
      <c r="D575" s="57"/>
      <c r="E575" s="57"/>
      <c r="F575" s="57"/>
      <c r="G575" s="56"/>
      <c r="H575" s="55"/>
      <c r="I575" s="55"/>
      <c r="J575" s="55"/>
      <c r="K575" s="55"/>
    </row>
    <row r="576" spans="1:11" s="2" customFormat="1">
      <c r="A576" s="53" t="s">
        <v>81</v>
      </c>
      <c r="B576" s="53"/>
      <c r="C576" s="53"/>
      <c r="D576" s="53"/>
      <c r="E576" s="53"/>
      <c r="F576" s="53"/>
      <c r="G576" s="53"/>
    </row>
    <row r="577" spans="1:11" s="5" customFormat="1" ht="38.25" customHeight="1">
      <c r="A577" s="29" t="s">
        <v>80</v>
      </c>
      <c r="B577" s="44" t="s">
        <v>79</v>
      </c>
      <c r="C577" s="22" t="s">
        <v>16</v>
      </c>
      <c r="D577" s="28">
        <v>777.69899999999996</v>
      </c>
      <c r="E577" s="28">
        <f>F577+F578+F579+F580</f>
        <v>413.55700000000002</v>
      </c>
      <c r="F577" s="16">
        <v>75</v>
      </c>
      <c r="G577" s="52" t="s">
        <v>62</v>
      </c>
      <c r="H577" s="6"/>
      <c r="I577" s="6"/>
      <c r="J577" s="6"/>
      <c r="K577" s="6"/>
    </row>
    <row r="578" spans="1:11" s="5" customFormat="1" ht="15">
      <c r="A578" s="25"/>
      <c r="B578" s="43"/>
      <c r="C578" s="13" t="s">
        <v>75</v>
      </c>
      <c r="D578" s="24"/>
      <c r="E578" s="24"/>
      <c r="F578" s="16">
        <v>5.702</v>
      </c>
      <c r="G578" s="51"/>
      <c r="H578" s="6"/>
      <c r="I578" s="6"/>
      <c r="J578" s="6"/>
      <c r="K578" s="6"/>
    </row>
    <row r="579" spans="1:11" s="5" customFormat="1" ht="25.5">
      <c r="A579" s="25"/>
      <c r="B579" s="43"/>
      <c r="C579" s="22" t="s">
        <v>25</v>
      </c>
      <c r="D579" s="24"/>
      <c r="E579" s="24"/>
      <c r="F579" s="16">
        <v>332.85500000000002</v>
      </c>
      <c r="G579" s="50" t="s">
        <v>74</v>
      </c>
      <c r="H579" s="6"/>
      <c r="I579" s="6"/>
      <c r="J579" s="6"/>
      <c r="K579" s="6"/>
    </row>
    <row r="580" spans="1:11" s="5" customFormat="1" ht="15">
      <c r="A580" s="23"/>
      <c r="B580" s="42"/>
      <c r="C580" s="13"/>
      <c r="D580" s="21"/>
      <c r="E580" s="21"/>
      <c r="F580" s="16"/>
      <c r="G580" s="13"/>
      <c r="H580" s="6"/>
      <c r="I580" s="6"/>
      <c r="J580" s="6"/>
      <c r="K580" s="6"/>
    </row>
    <row r="581" spans="1:11" s="5" customFormat="1" ht="13.9" customHeight="1">
      <c r="A581" s="29" t="s">
        <v>78</v>
      </c>
      <c r="B581" s="44" t="s">
        <v>77</v>
      </c>
      <c r="C581" s="22" t="s">
        <v>16</v>
      </c>
      <c r="D581" s="28">
        <v>880.62699999999995</v>
      </c>
      <c r="E581" s="28">
        <f>F581+F582+F583</f>
        <v>461.16500000000002</v>
      </c>
      <c r="F581" s="16">
        <v>75</v>
      </c>
      <c r="G581" s="52" t="s">
        <v>76</v>
      </c>
      <c r="H581" s="6"/>
      <c r="I581" s="6"/>
      <c r="J581" s="6"/>
      <c r="K581" s="6"/>
    </row>
    <row r="582" spans="1:11" s="5" customFormat="1" ht="15">
      <c r="A582" s="25"/>
      <c r="B582" s="43"/>
      <c r="C582" s="13" t="s">
        <v>75</v>
      </c>
      <c r="D582" s="24"/>
      <c r="E582" s="24"/>
      <c r="F582" s="16">
        <v>5.702</v>
      </c>
      <c r="G582" s="51"/>
      <c r="H582" s="6"/>
      <c r="I582" s="6"/>
      <c r="J582" s="6"/>
      <c r="K582" s="6"/>
    </row>
    <row r="583" spans="1:11" s="5" customFormat="1" ht="25.5">
      <c r="A583" s="25"/>
      <c r="B583" s="43"/>
      <c r="C583" s="22" t="s">
        <v>25</v>
      </c>
      <c r="D583" s="24"/>
      <c r="E583" s="24"/>
      <c r="F583" s="16">
        <v>380.46300000000002</v>
      </c>
      <c r="G583" s="50" t="s">
        <v>74</v>
      </c>
      <c r="H583" s="6"/>
      <c r="I583" s="6"/>
      <c r="J583" s="6"/>
      <c r="K583" s="6"/>
    </row>
    <row r="584" spans="1:11" s="5" customFormat="1" ht="15">
      <c r="A584" s="25"/>
      <c r="B584" s="43"/>
      <c r="C584" s="49"/>
      <c r="D584" s="24"/>
      <c r="E584" s="24"/>
      <c r="F584" s="16"/>
      <c r="G584" s="13"/>
      <c r="H584" s="6"/>
      <c r="I584" s="6"/>
      <c r="J584" s="6"/>
      <c r="K584" s="6"/>
    </row>
    <row r="585" spans="1:11" s="5" customFormat="1" ht="63.75">
      <c r="A585" s="30" t="s">
        <v>73</v>
      </c>
      <c r="B585" s="30" t="s">
        <v>72</v>
      </c>
      <c r="C585" s="13" t="s">
        <v>11</v>
      </c>
      <c r="D585" s="16">
        <f>1500-78.89-15.769</f>
        <v>1405.3409999999999</v>
      </c>
      <c r="E585" s="16">
        <v>87.578999999999994</v>
      </c>
      <c r="F585" s="16">
        <v>87.578999999999994</v>
      </c>
      <c r="G585" s="13" t="s">
        <v>15</v>
      </c>
      <c r="H585" s="6"/>
      <c r="I585" s="6"/>
      <c r="J585" s="6"/>
      <c r="K585" s="6"/>
    </row>
    <row r="586" spans="1:11" s="5" customFormat="1" ht="13.9" customHeight="1">
      <c r="A586" s="29" t="s">
        <v>71</v>
      </c>
      <c r="B586" s="44" t="s">
        <v>70</v>
      </c>
      <c r="C586" s="22" t="s">
        <v>16</v>
      </c>
      <c r="D586" s="28">
        <v>1040.9449999999999</v>
      </c>
      <c r="E586" s="28">
        <f>F586+F587+F588+F589+F590</f>
        <v>1040.9449999999999</v>
      </c>
      <c r="F586" s="16">
        <v>50.984000000000002</v>
      </c>
      <c r="G586" s="27" t="s">
        <v>21</v>
      </c>
      <c r="H586" s="6"/>
      <c r="I586" s="6"/>
      <c r="J586" s="6"/>
      <c r="K586" s="6"/>
    </row>
    <row r="587" spans="1:11" s="5" customFormat="1" ht="15">
      <c r="A587" s="25"/>
      <c r="B587" s="43"/>
      <c r="C587" s="22" t="s">
        <v>14</v>
      </c>
      <c r="D587" s="24"/>
      <c r="E587" s="24"/>
      <c r="F587" s="16">
        <v>4.4870000000000001</v>
      </c>
      <c r="G587" s="26"/>
      <c r="H587" s="6"/>
      <c r="I587" s="6"/>
      <c r="J587" s="6"/>
      <c r="K587" s="6"/>
    </row>
    <row r="588" spans="1:11" s="5" customFormat="1" ht="15">
      <c r="A588" s="25"/>
      <c r="B588" s="43"/>
      <c r="C588" s="13" t="s">
        <v>13</v>
      </c>
      <c r="D588" s="24"/>
      <c r="E588" s="24"/>
      <c r="F588" s="16">
        <v>15.933</v>
      </c>
      <c r="G588" s="22" t="s">
        <v>65</v>
      </c>
      <c r="H588" s="6"/>
      <c r="I588" s="6"/>
      <c r="J588" s="6"/>
      <c r="K588" s="6"/>
    </row>
    <row r="589" spans="1:11" s="5" customFormat="1" ht="25.5">
      <c r="A589" s="25"/>
      <c r="B589" s="43"/>
      <c r="C589" s="13" t="s">
        <v>12</v>
      </c>
      <c r="D589" s="24"/>
      <c r="E589" s="24"/>
      <c r="F589" s="16">
        <v>3.24</v>
      </c>
      <c r="G589" s="22" t="s">
        <v>21</v>
      </c>
      <c r="H589" s="6"/>
      <c r="I589" s="6"/>
      <c r="J589" s="6"/>
      <c r="K589" s="6"/>
    </row>
    <row r="590" spans="1:11" s="5" customFormat="1" ht="25.5">
      <c r="A590" s="23"/>
      <c r="B590" s="42"/>
      <c r="C590" s="13" t="s">
        <v>11</v>
      </c>
      <c r="D590" s="21"/>
      <c r="E590" s="21"/>
      <c r="F590" s="16">
        <f>489.129+477.172</f>
        <v>966.30100000000004</v>
      </c>
      <c r="G590" s="22" t="s">
        <v>42</v>
      </c>
      <c r="H590" s="6"/>
      <c r="I590" s="6"/>
      <c r="J590" s="6"/>
      <c r="K590" s="6"/>
    </row>
    <row r="591" spans="1:11" s="5" customFormat="1" ht="13.9" customHeight="1">
      <c r="A591" s="29" t="s">
        <v>69</v>
      </c>
      <c r="B591" s="44" t="s">
        <v>68</v>
      </c>
      <c r="C591" s="22" t="s">
        <v>16</v>
      </c>
      <c r="D591" s="28">
        <v>73.352999999999994</v>
      </c>
      <c r="E591" s="28">
        <f>F591+F592</f>
        <v>73.353000000000009</v>
      </c>
      <c r="F591" s="16">
        <v>67.542000000000002</v>
      </c>
      <c r="G591" s="27" t="s">
        <v>21</v>
      </c>
      <c r="H591" s="6"/>
      <c r="I591" s="6"/>
      <c r="J591" s="6"/>
      <c r="K591" s="6"/>
    </row>
    <row r="592" spans="1:11" s="5" customFormat="1" ht="15">
      <c r="A592" s="25"/>
      <c r="B592" s="43"/>
      <c r="C592" s="13" t="s">
        <v>14</v>
      </c>
      <c r="D592" s="24"/>
      <c r="E592" s="24"/>
      <c r="F592" s="16">
        <v>5.8109999999999999</v>
      </c>
      <c r="G592" s="26"/>
      <c r="H592" s="6"/>
      <c r="I592" s="6"/>
      <c r="J592" s="6"/>
      <c r="K592" s="6"/>
    </row>
    <row r="593" spans="1:11" s="5" customFormat="1" ht="15">
      <c r="A593" s="25"/>
      <c r="B593" s="43"/>
      <c r="C593" s="13" t="s">
        <v>12</v>
      </c>
      <c r="D593" s="24"/>
      <c r="E593" s="24"/>
      <c r="F593" s="16"/>
      <c r="G593" s="22"/>
      <c r="H593" s="6"/>
      <c r="I593" s="6"/>
      <c r="J593" s="6"/>
      <c r="K593" s="6"/>
    </row>
    <row r="594" spans="1:11" s="5" customFormat="1" ht="15">
      <c r="A594" s="23"/>
      <c r="B594" s="42"/>
      <c r="C594" s="13" t="s">
        <v>11</v>
      </c>
      <c r="D594" s="21"/>
      <c r="E594" s="21"/>
      <c r="F594" s="16"/>
      <c r="G594" s="22"/>
      <c r="H594" s="6"/>
      <c r="I594" s="6"/>
      <c r="J594" s="6"/>
      <c r="K594" s="6"/>
    </row>
    <row r="595" spans="1:11" s="5" customFormat="1" ht="13.9" customHeight="1">
      <c r="A595" s="29" t="s">
        <v>67</v>
      </c>
      <c r="B595" s="44" t="s">
        <v>66</v>
      </c>
      <c r="C595" s="22" t="s">
        <v>16</v>
      </c>
      <c r="D595" s="28">
        <f>E595</f>
        <v>938.7</v>
      </c>
      <c r="E595" s="28">
        <f>F595+F596+F597+F598+F599</f>
        <v>938.7</v>
      </c>
      <c r="F595" s="16">
        <v>64.391000000000005</v>
      </c>
      <c r="G595" s="27" t="s">
        <v>21</v>
      </c>
      <c r="H595" s="6"/>
      <c r="I595" s="6"/>
      <c r="J595" s="6"/>
      <c r="K595" s="6"/>
    </row>
    <row r="596" spans="1:11" s="5" customFormat="1" ht="15">
      <c r="A596" s="25"/>
      <c r="B596" s="43"/>
      <c r="C596" s="13" t="s">
        <v>14</v>
      </c>
      <c r="D596" s="24"/>
      <c r="E596" s="24"/>
      <c r="F596" s="16">
        <v>5.702</v>
      </c>
      <c r="G596" s="48"/>
      <c r="H596" s="6"/>
      <c r="I596" s="6"/>
      <c r="J596" s="6"/>
      <c r="K596" s="6"/>
    </row>
    <row r="597" spans="1:11" s="5" customFormat="1" ht="15">
      <c r="A597" s="25"/>
      <c r="B597" s="43"/>
      <c r="C597" s="13" t="s">
        <v>12</v>
      </c>
      <c r="D597" s="24"/>
      <c r="E597" s="24"/>
      <c r="F597" s="16">
        <v>3.1160000000000001</v>
      </c>
      <c r="G597" s="26"/>
      <c r="H597" s="6"/>
      <c r="I597" s="6"/>
      <c r="J597" s="6"/>
      <c r="K597" s="6"/>
    </row>
    <row r="598" spans="1:11" s="5" customFormat="1" ht="15">
      <c r="A598" s="25"/>
      <c r="B598" s="43"/>
      <c r="C598" s="13" t="s">
        <v>13</v>
      </c>
      <c r="D598" s="24"/>
      <c r="E598" s="24"/>
      <c r="F598" s="16">
        <v>14.861000000000001</v>
      </c>
      <c r="G598" s="22" t="s">
        <v>65</v>
      </c>
      <c r="H598" s="6"/>
      <c r="I598" s="6"/>
      <c r="J598" s="6"/>
      <c r="K598" s="6"/>
    </row>
    <row r="599" spans="1:11" s="5" customFormat="1" ht="25.5">
      <c r="A599" s="23"/>
      <c r="B599" s="42"/>
      <c r="C599" s="13" t="s">
        <v>11</v>
      </c>
      <c r="D599" s="21"/>
      <c r="E599" s="21"/>
      <c r="F599" s="16">
        <f>455.432+395.198</f>
        <v>850.63</v>
      </c>
      <c r="G599" s="22" t="s">
        <v>42</v>
      </c>
      <c r="H599" s="6"/>
      <c r="I599" s="6"/>
      <c r="J599" s="6"/>
      <c r="K599" s="6"/>
    </row>
    <row r="600" spans="1:11" s="5" customFormat="1" ht="13.9" customHeight="1">
      <c r="A600" s="29" t="s">
        <v>64</v>
      </c>
      <c r="B600" s="44" t="s">
        <v>63</v>
      </c>
      <c r="C600" s="22" t="s">
        <v>16</v>
      </c>
      <c r="D600" s="28">
        <f>E600</f>
        <v>572.755</v>
      </c>
      <c r="E600" s="28">
        <f>F600+F601+F602+F603+F604</f>
        <v>572.755</v>
      </c>
      <c r="F600" s="16">
        <v>75</v>
      </c>
      <c r="G600" s="47" t="s">
        <v>62</v>
      </c>
      <c r="H600" s="6"/>
      <c r="I600" s="6"/>
      <c r="J600" s="6"/>
      <c r="K600" s="6"/>
    </row>
    <row r="601" spans="1:11" s="5" customFormat="1" ht="15">
      <c r="A601" s="25"/>
      <c r="B601" s="43"/>
      <c r="C601" s="13" t="s">
        <v>14</v>
      </c>
      <c r="D601" s="24"/>
      <c r="E601" s="24"/>
      <c r="F601" s="16">
        <v>5.702</v>
      </c>
      <c r="G601" s="46"/>
      <c r="H601" s="6"/>
      <c r="I601" s="6"/>
      <c r="J601" s="6"/>
      <c r="K601" s="6"/>
    </row>
    <row r="602" spans="1:11" s="5" customFormat="1" ht="15">
      <c r="A602" s="25"/>
      <c r="B602" s="43"/>
      <c r="C602" s="13" t="s">
        <v>12</v>
      </c>
      <c r="D602" s="24"/>
      <c r="E602" s="24"/>
      <c r="F602" s="16"/>
      <c r="G602" s="22"/>
      <c r="H602" s="6"/>
      <c r="I602" s="6"/>
      <c r="J602" s="6"/>
      <c r="K602" s="6"/>
    </row>
    <row r="603" spans="1:11" s="5" customFormat="1" ht="15">
      <c r="A603" s="25"/>
      <c r="B603" s="43"/>
      <c r="C603" s="13" t="s">
        <v>13</v>
      </c>
      <c r="D603" s="24"/>
      <c r="E603" s="24"/>
      <c r="F603" s="16"/>
      <c r="G603" s="22"/>
      <c r="H603" s="6"/>
      <c r="I603" s="6"/>
      <c r="J603" s="6"/>
      <c r="K603" s="6"/>
    </row>
    <row r="604" spans="1:11" s="5" customFormat="1" ht="25.5">
      <c r="A604" s="23"/>
      <c r="B604" s="42"/>
      <c r="C604" s="22" t="s">
        <v>25</v>
      </c>
      <c r="D604" s="21"/>
      <c r="E604" s="21"/>
      <c r="F604" s="16">
        <v>492.053</v>
      </c>
      <c r="G604" s="22" t="s">
        <v>24</v>
      </c>
      <c r="H604" s="6"/>
      <c r="I604" s="6"/>
      <c r="J604" s="6"/>
      <c r="K604" s="6"/>
    </row>
    <row r="605" spans="1:11" s="5" customFormat="1" ht="51">
      <c r="A605" s="30" t="s">
        <v>61</v>
      </c>
      <c r="B605" s="45" t="s">
        <v>60</v>
      </c>
      <c r="C605" s="22" t="s">
        <v>29</v>
      </c>
      <c r="D605" s="16">
        <v>8.1050000000000004</v>
      </c>
      <c r="E605" s="16">
        <v>8.1050000000000004</v>
      </c>
      <c r="F605" s="16">
        <v>8.1050000000000004</v>
      </c>
      <c r="G605" s="22" t="s">
        <v>59</v>
      </c>
      <c r="H605" s="6"/>
      <c r="I605" s="6"/>
      <c r="J605" s="6"/>
      <c r="K605" s="6"/>
    </row>
    <row r="606" spans="1:11" s="5" customFormat="1" ht="13.9" customHeight="1">
      <c r="A606" s="29" t="s">
        <v>58</v>
      </c>
      <c r="B606" s="44" t="s">
        <v>57</v>
      </c>
      <c r="C606" s="22" t="s">
        <v>16</v>
      </c>
      <c r="D606" s="28">
        <f>E606+140.634</f>
        <v>239.07499999999999</v>
      </c>
      <c r="E606" s="28">
        <f>F606+F607+F608+F609+F610+0.419</f>
        <v>98.440999999999988</v>
      </c>
      <c r="F606" s="16">
        <v>91.412999999999997</v>
      </c>
      <c r="G606" s="27" t="s">
        <v>15</v>
      </c>
      <c r="H606" s="6"/>
      <c r="I606" s="6"/>
      <c r="J606" s="6"/>
      <c r="K606" s="6"/>
    </row>
    <row r="607" spans="1:11" s="5" customFormat="1" ht="15">
      <c r="A607" s="25"/>
      <c r="B607" s="43"/>
      <c r="C607" s="13" t="s">
        <v>14</v>
      </c>
      <c r="D607" s="24"/>
      <c r="E607" s="24"/>
      <c r="F607" s="16">
        <v>6.609</v>
      </c>
      <c r="G607" s="26"/>
      <c r="H607" s="6"/>
      <c r="I607" s="6"/>
      <c r="J607" s="6"/>
      <c r="K607" s="6"/>
    </row>
    <row r="608" spans="1:11" s="5" customFormat="1" ht="15">
      <c r="A608" s="25"/>
      <c r="B608" s="43"/>
      <c r="C608" s="13" t="s">
        <v>12</v>
      </c>
      <c r="D608" s="24"/>
      <c r="E608" s="24"/>
      <c r="F608" s="16"/>
      <c r="G608" s="22"/>
      <c r="H608" s="6"/>
      <c r="I608" s="6"/>
      <c r="J608" s="6"/>
      <c r="K608" s="6"/>
    </row>
    <row r="609" spans="1:11" s="5" customFormat="1" ht="15">
      <c r="A609" s="25"/>
      <c r="B609" s="43"/>
      <c r="C609" s="13" t="s">
        <v>13</v>
      </c>
      <c r="D609" s="24"/>
      <c r="E609" s="24"/>
      <c r="F609" s="16"/>
      <c r="G609" s="22"/>
      <c r="H609" s="6"/>
      <c r="I609" s="6"/>
      <c r="J609" s="6"/>
      <c r="K609" s="6"/>
    </row>
    <row r="610" spans="1:11" s="5" customFormat="1" ht="15">
      <c r="A610" s="23"/>
      <c r="B610" s="42"/>
      <c r="C610" s="39" t="s">
        <v>11</v>
      </c>
      <c r="D610" s="24"/>
      <c r="E610" s="24"/>
      <c r="F610" s="28"/>
      <c r="G610" s="39"/>
      <c r="H610" s="6"/>
      <c r="I610" s="6"/>
      <c r="J610" s="6"/>
      <c r="K610" s="6"/>
    </row>
    <row r="611" spans="1:11" s="5" customFormat="1" ht="15">
      <c r="A611" s="41" t="s">
        <v>2</v>
      </c>
      <c r="B611" s="14"/>
      <c r="C611" s="13"/>
      <c r="D611" s="40">
        <f>D577+D581+D585+D586+D591+D595+D600+D605+D606</f>
        <v>5936.5999999999995</v>
      </c>
      <c r="E611" s="40">
        <f>E577+E581+E585+E586+E591+E595+E600+E605+E606</f>
        <v>3694.6</v>
      </c>
      <c r="F611" s="19">
        <f>SUM(F577:F607)</f>
        <v>3694.1810000000005</v>
      </c>
      <c r="G611" s="13"/>
      <c r="H611" s="6"/>
      <c r="I611" s="6"/>
      <c r="J611" s="6"/>
      <c r="K611" s="6"/>
    </row>
    <row r="612" spans="1:11" s="5" customFormat="1" ht="13.9" customHeight="1">
      <c r="A612" s="29" t="s">
        <v>56</v>
      </c>
      <c r="B612" s="29" t="s">
        <v>55</v>
      </c>
      <c r="C612" s="22" t="s">
        <v>16</v>
      </c>
      <c r="D612" s="36">
        <f>1499.881-109.565</f>
        <v>1390.316</v>
      </c>
      <c r="E612" s="36">
        <f>F612+F613+F614+F615+F616</f>
        <v>66.595320000000001</v>
      </c>
      <c r="F612" s="16">
        <v>60.508159999999997</v>
      </c>
      <c r="G612" s="27" t="s">
        <v>47</v>
      </c>
      <c r="H612" s="6"/>
      <c r="I612" s="6"/>
      <c r="J612" s="6"/>
      <c r="K612" s="6"/>
    </row>
    <row r="613" spans="1:11" s="5" customFormat="1" ht="15">
      <c r="A613" s="25"/>
      <c r="B613" s="25"/>
      <c r="C613" s="13" t="s">
        <v>14</v>
      </c>
      <c r="D613" s="34"/>
      <c r="E613" s="34"/>
      <c r="F613" s="16">
        <v>6.0871599999999999</v>
      </c>
      <c r="G613" s="26"/>
      <c r="H613" s="6"/>
      <c r="I613" s="6"/>
      <c r="J613" s="6"/>
      <c r="K613" s="6"/>
    </row>
    <row r="614" spans="1:11" s="5" customFormat="1" ht="15">
      <c r="A614" s="25"/>
      <c r="B614" s="25"/>
      <c r="C614" s="13" t="s">
        <v>12</v>
      </c>
      <c r="D614" s="34"/>
      <c r="E614" s="34"/>
      <c r="F614" s="19"/>
      <c r="G614" s="13"/>
      <c r="H614" s="6"/>
      <c r="I614" s="6"/>
      <c r="J614" s="6"/>
      <c r="K614" s="6"/>
    </row>
    <row r="615" spans="1:11" s="5" customFormat="1" ht="15">
      <c r="A615" s="25"/>
      <c r="B615" s="25"/>
      <c r="C615" s="13" t="s">
        <v>13</v>
      </c>
      <c r="D615" s="34"/>
      <c r="E615" s="34"/>
      <c r="F615" s="19"/>
      <c r="G615" s="13"/>
      <c r="H615" s="6"/>
      <c r="I615" s="6"/>
      <c r="J615" s="6"/>
      <c r="K615" s="6"/>
    </row>
    <row r="616" spans="1:11" s="5" customFormat="1" ht="15">
      <c r="A616" s="23"/>
      <c r="B616" s="23"/>
      <c r="C616" s="39" t="s">
        <v>11</v>
      </c>
      <c r="D616" s="32"/>
      <c r="E616" s="32"/>
      <c r="F616" s="16"/>
      <c r="G616" s="13"/>
      <c r="H616" s="6"/>
      <c r="I616" s="6"/>
      <c r="J616" s="6"/>
      <c r="K616" s="6"/>
    </row>
    <row r="617" spans="1:11" s="5" customFormat="1" ht="13.9" customHeight="1">
      <c r="A617" s="29" t="s">
        <v>54</v>
      </c>
      <c r="B617" s="29" t="s">
        <v>53</v>
      </c>
      <c r="C617" s="22" t="s">
        <v>16</v>
      </c>
      <c r="D617" s="36">
        <v>66.599999999999994</v>
      </c>
      <c r="E617" s="36">
        <f>F617+F618+F619+F620+F621</f>
        <v>66.595320000000001</v>
      </c>
      <c r="F617" s="38">
        <v>60.508159999999997</v>
      </c>
      <c r="G617" s="27" t="s">
        <v>47</v>
      </c>
      <c r="H617" s="6"/>
      <c r="I617" s="6"/>
      <c r="J617" s="6"/>
      <c r="K617" s="6"/>
    </row>
    <row r="618" spans="1:11" s="5" customFormat="1" ht="15">
      <c r="A618" s="25"/>
      <c r="B618" s="25"/>
      <c r="C618" s="22" t="s">
        <v>14</v>
      </c>
      <c r="D618" s="34"/>
      <c r="E618" s="34"/>
      <c r="F618" s="38">
        <v>6.0871599999999999</v>
      </c>
      <c r="G618" s="26"/>
      <c r="H618" s="6"/>
      <c r="I618" s="6"/>
      <c r="J618" s="6"/>
      <c r="K618" s="6"/>
    </row>
    <row r="619" spans="1:11" s="5" customFormat="1" ht="15">
      <c r="A619" s="25"/>
      <c r="B619" s="25"/>
      <c r="C619" s="13" t="s">
        <v>13</v>
      </c>
      <c r="D619" s="34"/>
      <c r="E619" s="34"/>
      <c r="F619" s="16"/>
      <c r="G619" s="13"/>
      <c r="H619" s="6"/>
      <c r="I619" s="6"/>
      <c r="J619" s="6"/>
      <c r="K619" s="6"/>
    </row>
    <row r="620" spans="1:11" s="5" customFormat="1" ht="15">
      <c r="A620" s="25"/>
      <c r="B620" s="25"/>
      <c r="C620" s="13" t="s">
        <v>12</v>
      </c>
      <c r="D620" s="34"/>
      <c r="E620" s="34"/>
      <c r="F620" s="16"/>
      <c r="G620" s="13"/>
      <c r="H620" s="6"/>
      <c r="I620" s="6"/>
      <c r="J620" s="6"/>
      <c r="K620" s="6"/>
    </row>
    <row r="621" spans="1:11" s="5" customFormat="1" ht="15">
      <c r="A621" s="23"/>
      <c r="B621" s="23"/>
      <c r="C621" s="13" t="s">
        <v>11</v>
      </c>
      <c r="D621" s="32"/>
      <c r="E621" s="32"/>
      <c r="F621" s="16"/>
      <c r="G621" s="13"/>
      <c r="H621" s="6"/>
      <c r="I621" s="6"/>
      <c r="J621" s="6"/>
      <c r="K621" s="6"/>
    </row>
    <row r="622" spans="1:11" s="5" customFormat="1" ht="13.9" customHeight="1">
      <c r="A622" s="29" t="s">
        <v>52</v>
      </c>
      <c r="B622" s="29" t="s">
        <v>51</v>
      </c>
      <c r="C622" s="22" t="s">
        <v>16</v>
      </c>
      <c r="D622" s="36">
        <f>E622</f>
        <v>2624.5980499999996</v>
      </c>
      <c r="E622" s="36">
        <f>F622+F623+F624+F625+F626</f>
        <v>2624.5980499999996</v>
      </c>
      <c r="F622" s="16">
        <v>91.391580000000005</v>
      </c>
      <c r="G622" s="27" t="s">
        <v>47</v>
      </c>
      <c r="H622" s="6"/>
      <c r="I622" s="6"/>
      <c r="J622" s="6"/>
      <c r="K622" s="6"/>
    </row>
    <row r="623" spans="1:11" s="5" customFormat="1" ht="15">
      <c r="A623" s="25"/>
      <c r="B623" s="25"/>
      <c r="C623" s="22" t="s">
        <v>14</v>
      </c>
      <c r="D623" s="34"/>
      <c r="E623" s="34"/>
      <c r="F623" s="16">
        <v>7.9515799999999999</v>
      </c>
      <c r="G623" s="26"/>
      <c r="H623" s="6"/>
      <c r="I623" s="6"/>
      <c r="J623" s="6"/>
      <c r="K623" s="6"/>
    </row>
    <row r="624" spans="1:11" s="5" customFormat="1" ht="25.5">
      <c r="A624" s="25"/>
      <c r="B624" s="25"/>
      <c r="C624" s="13" t="s">
        <v>13</v>
      </c>
      <c r="D624" s="34"/>
      <c r="E624" s="34"/>
      <c r="F624" s="16">
        <v>42.84</v>
      </c>
      <c r="G624" s="22" t="s">
        <v>43</v>
      </c>
      <c r="H624" s="6"/>
      <c r="I624" s="6"/>
      <c r="J624" s="6"/>
      <c r="K624" s="6"/>
    </row>
    <row r="625" spans="1:11" s="5" customFormat="1" ht="25.5">
      <c r="A625" s="25"/>
      <c r="B625" s="25"/>
      <c r="C625" s="13" t="s">
        <v>12</v>
      </c>
      <c r="D625" s="34"/>
      <c r="E625" s="34"/>
      <c r="F625" s="16">
        <v>8.1</v>
      </c>
      <c r="G625" s="22" t="s">
        <v>47</v>
      </c>
      <c r="H625" s="6"/>
      <c r="I625" s="6"/>
      <c r="J625" s="6"/>
      <c r="K625" s="6"/>
    </row>
    <row r="626" spans="1:11" s="5" customFormat="1" ht="25.5">
      <c r="A626" s="23"/>
      <c r="B626" s="23"/>
      <c r="C626" s="13" t="s">
        <v>11</v>
      </c>
      <c r="D626" s="32"/>
      <c r="E626" s="32"/>
      <c r="F626" s="16">
        <f>1284.41339+1189.9015</f>
        <v>2474.3148899999997</v>
      </c>
      <c r="G626" s="22" t="s">
        <v>46</v>
      </c>
      <c r="H626" s="6"/>
      <c r="I626" s="6"/>
      <c r="J626" s="6"/>
      <c r="K626" s="6"/>
    </row>
    <row r="627" spans="1:11" s="5" customFormat="1" ht="13.9" customHeight="1">
      <c r="A627" s="29" t="s">
        <v>50</v>
      </c>
      <c r="B627" s="29" t="s">
        <v>49</v>
      </c>
      <c r="C627" s="22" t="s">
        <v>16</v>
      </c>
      <c r="D627" s="36">
        <f>E627</f>
        <v>3180.6116999999999</v>
      </c>
      <c r="E627" s="36">
        <f>F627+F628+F629+F630+F631</f>
        <v>3180.6116999999999</v>
      </c>
      <c r="F627" s="16">
        <v>95.656840000000003</v>
      </c>
      <c r="G627" s="27" t="s">
        <v>47</v>
      </c>
      <c r="H627" s="6"/>
      <c r="I627" s="6"/>
      <c r="J627" s="6"/>
      <c r="K627" s="6"/>
    </row>
    <row r="628" spans="1:11" s="5" customFormat="1" ht="15">
      <c r="A628" s="25"/>
      <c r="B628" s="25"/>
      <c r="C628" s="22" t="s">
        <v>14</v>
      </c>
      <c r="D628" s="34"/>
      <c r="E628" s="34"/>
      <c r="F628" s="16">
        <v>9.0808400000000002</v>
      </c>
      <c r="G628" s="26"/>
      <c r="H628" s="6"/>
      <c r="I628" s="6"/>
      <c r="J628" s="6"/>
      <c r="K628" s="6"/>
    </row>
    <row r="629" spans="1:11" s="5" customFormat="1" ht="25.5">
      <c r="A629" s="25"/>
      <c r="B629" s="25"/>
      <c r="C629" s="13" t="s">
        <v>13</v>
      </c>
      <c r="D629" s="34"/>
      <c r="E629" s="34"/>
      <c r="F629" s="16">
        <v>51.245260000000002</v>
      </c>
      <c r="G629" s="22" t="s">
        <v>48</v>
      </c>
      <c r="H629" s="6"/>
      <c r="I629" s="6"/>
      <c r="J629" s="6"/>
      <c r="K629" s="6"/>
    </row>
    <row r="630" spans="1:11" s="5" customFormat="1" ht="27" customHeight="1">
      <c r="A630" s="25"/>
      <c r="B630" s="25"/>
      <c r="C630" s="13" t="s">
        <v>12</v>
      </c>
      <c r="D630" s="34"/>
      <c r="E630" s="34"/>
      <c r="F630" s="16">
        <v>10.8</v>
      </c>
      <c r="G630" s="22" t="s">
        <v>47</v>
      </c>
      <c r="H630" s="6"/>
      <c r="I630" s="6"/>
      <c r="J630" s="6"/>
      <c r="K630" s="6"/>
    </row>
    <row r="631" spans="1:11" s="5" customFormat="1" ht="25.5">
      <c r="A631" s="23"/>
      <c r="B631" s="23"/>
      <c r="C631" s="13" t="s">
        <v>11</v>
      </c>
      <c r="D631" s="32"/>
      <c r="E631" s="32"/>
      <c r="F631" s="16">
        <f>1539.99364+1473.83512</f>
        <v>3013.8287599999999</v>
      </c>
      <c r="G631" s="22" t="s">
        <v>46</v>
      </c>
      <c r="H631" s="6"/>
      <c r="I631" s="6"/>
      <c r="J631" s="6"/>
      <c r="K631" s="6"/>
    </row>
    <row r="632" spans="1:11" s="5" customFormat="1" ht="13.9" customHeight="1">
      <c r="A632" s="29" t="s">
        <v>45</v>
      </c>
      <c r="B632" s="29" t="s">
        <v>44</v>
      </c>
      <c r="C632" s="22" t="s">
        <v>16</v>
      </c>
      <c r="D632" s="36">
        <v>1037.0450000000001</v>
      </c>
      <c r="E632" s="36">
        <f>F632+F633+F634+F635+F636</f>
        <v>955.50477999999998</v>
      </c>
      <c r="F632" s="16">
        <v>65.516840000000002</v>
      </c>
      <c r="G632" s="27" t="s">
        <v>21</v>
      </c>
      <c r="H632" s="6"/>
      <c r="I632" s="6"/>
      <c r="J632" s="6"/>
      <c r="K632" s="6"/>
    </row>
    <row r="633" spans="1:11" s="5" customFormat="1" ht="15">
      <c r="A633" s="25"/>
      <c r="B633" s="25"/>
      <c r="C633" s="22" t="s">
        <v>14</v>
      </c>
      <c r="D633" s="34"/>
      <c r="E633" s="34"/>
      <c r="F633" s="16">
        <v>5.952</v>
      </c>
      <c r="G633" s="26"/>
      <c r="H633" s="6"/>
      <c r="I633" s="6"/>
      <c r="J633" s="6"/>
      <c r="K633" s="6"/>
    </row>
    <row r="634" spans="1:11" s="5" customFormat="1" ht="25.5">
      <c r="A634" s="25"/>
      <c r="B634" s="25"/>
      <c r="C634" s="13" t="s">
        <v>13</v>
      </c>
      <c r="D634" s="34"/>
      <c r="E634" s="34"/>
      <c r="F634" s="16">
        <v>15.510529999999999</v>
      </c>
      <c r="G634" s="22" t="s">
        <v>43</v>
      </c>
      <c r="H634" s="6"/>
      <c r="I634" s="6"/>
      <c r="J634" s="6"/>
      <c r="K634" s="6"/>
    </row>
    <row r="635" spans="1:11" s="5" customFormat="1" ht="25.5">
      <c r="A635" s="25"/>
      <c r="B635" s="25"/>
      <c r="C635" s="13" t="s">
        <v>12</v>
      </c>
      <c r="D635" s="34"/>
      <c r="E635" s="34"/>
      <c r="F635" s="16">
        <v>3.24</v>
      </c>
      <c r="G635" s="22" t="s">
        <v>21</v>
      </c>
      <c r="H635" s="6"/>
      <c r="I635" s="6"/>
      <c r="J635" s="6"/>
      <c r="K635" s="6"/>
    </row>
    <row r="636" spans="1:11" s="5" customFormat="1" ht="25.5">
      <c r="A636" s="23"/>
      <c r="B636" s="23"/>
      <c r="C636" s="13" t="s">
        <v>11</v>
      </c>
      <c r="D636" s="32"/>
      <c r="E636" s="32"/>
      <c r="F636" s="16">
        <f>473.41137+391.87404</f>
        <v>865.28540999999996</v>
      </c>
      <c r="G636" s="22" t="s">
        <v>42</v>
      </c>
      <c r="H636" s="6"/>
      <c r="I636" s="6"/>
      <c r="J636" s="6"/>
      <c r="K636" s="6"/>
    </row>
    <row r="637" spans="1:11" s="5" customFormat="1" ht="13.9" customHeight="1">
      <c r="A637" s="29" t="s">
        <v>41</v>
      </c>
      <c r="B637" s="29" t="s">
        <v>40</v>
      </c>
      <c r="C637" s="22" t="s">
        <v>16</v>
      </c>
      <c r="D637" s="37">
        <f>2857.327-1455.523</f>
        <v>1401.8040000000003</v>
      </c>
      <c r="E637" s="36">
        <f>F637+F638+F639+F640+F641</f>
        <v>1057.57278</v>
      </c>
      <c r="F637" s="16">
        <v>93.350059999999999</v>
      </c>
      <c r="G637" s="27" t="s">
        <v>15</v>
      </c>
      <c r="H637" s="6"/>
      <c r="I637" s="6"/>
      <c r="J637" s="6"/>
      <c r="K637" s="6"/>
    </row>
    <row r="638" spans="1:11" s="5" customFormat="1" ht="15">
      <c r="A638" s="25"/>
      <c r="B638" s="25"/>
      <c r="C638" s="22" t="s">
        <v>14</v>
      </c>
      <c r="D638" s="35"/>
      <c r="E638" s="34"/>
      <c r="F638" s="16">
        <v>8.4505300000000005</v>
      </c>
      <c r="G638" s="26"/>
      <c r="H638" s="6"/>
      <c r="I638" s="6"/>
      <c r="J638" s="6"/>
      <c r="K638" s="6"/>
    </row>
    <row r="639" spans="1:11" s="5" customFormat="1" ht="15">
      <c r="A639" s="25"/>
      <c r="B639" s="25"/>
      <c r="C639" s="13" t="s">
        <v>13</v>
      </c>
      <c r="D639" s="35"/>
      <c r="E639" s="34"/>
      <c r="F639" s="16"/>
      <c r="G639" s="22"/>
      <c r="H639" s="6"/>
      <c r="I639" s="6"/>
      <c r="J639" s="6"/>
      <c r="K639" s="6"/>
    </row>
    <row r="640" spans="1:11" s="5" customFormat="1" ht="15">
      <c r="A640" s="25"/>
      <c r="B640" s="25"/>
      <c r="C640" s="13" t="s">
        <v>12</v>
      </c>
      <c r="D640" s="35"/>
      <c r="E640" s="34"/>
      <c r="F640" s="16"/>
      <c r="G640" s="22"/>
      <c r="H640" s="6"/>
      <c r="I640" s="6"/>
      <c r="J640" s="6"/>
      <c r="K640" s="6"/>
    </row>
    <row r="641" spans="1:11" s="5" customFormat="1" ht="25.5">
      <c r="A641" s="23"/>
      <c r="B641" s="23"/>
      <c r="C641" s="22" t="s">
        <v>25</v>
      </c>
      <c r="D641" s="33"/>
      <c r="E641" s="32"/>
      <c r="F641" s="16">
        <v>955.77219000000002</v>
      </c>
      <c r="G641" s="22" t="s">
        <v>10</v>
      </c>
      <c r="H641" s="6"/>
      <c r="I641" s="6"/>
      <c r="J641" s="6"/>
      <c r="K641" s="6"/>
    </row>
    <row r="642" spans="1:11" s="5" customFormat="1" ht="49.5" customHeight="1">
      <c r="A642" s="30" t="s">
        <v>39</v>
      </c>
      <c r="B642" s="31" t="s">
        <v>38</v>
      </c>
      <c r="C642" s="22" t="s">
        <v>29</v>
      </c>
      <c r="D642" s="16">
        <v>8.1052</v>
      </c>
      <c r="E642" s="16">
        <v>8.1052</v>
      </c>
      <c r="F642" s="16">
        <v>8.1052</v>
      </c>
      <c r="G642" s="22" t="s">
        <v>28</v>
      </c>
      <c r="H642" s="6"/>
      <c r="I642" s="6"/>
      <c r="J642" s="6"/>
      <c r="K642" s="6"/>
    </row>
    <row r="643" spans="1:11" s="5" customFormat="1" ht="25.5">
      <c r="A643" s="30" t="s">
        <v>37</v>
      </c>
      <c r="B643" s="31" t="s">
        <v>36</v>
      </c>
      <c r="C643" s="22" t="s">
        <v>29</v>
      </c>
      <c r="D643" s="16">
        <v>8.1052</v>
      </c>
      <c r="E643" s="16">
        <v>8.1052</v>
      </c>
      <c r="F643" s="16">
        <v>8.1052</v>
      </c>
      <c r="G643" s="22" t="s">
        <v>28</v>
      </c>
      <c r="H643" s="6"/>
      <c r="I643" s="6"/>
      <c r="J643" s="6"/>
      <c r="K643" s="6"/>
    </row>
    <row r="644" spans="1:11" s="5" customFormat="1" ht="51">
      <c r="A644" s="30" t="s">
        <v>35</v>
      </c>
      <c r="B644" s="31" t="s">
        <v>34</v>
      </c>
      <c r="C644" s="22" t="s">
        <v>29</v>
      </c>
      <c r="D644" s="16">
        <v>8.1052</v>
      </c>
      <c r="E644" s="16">
        <v>8.1052</v>
      </c>
      <c r="F644" s="16">
        <v>8.1052</v>
      </c>
      <c r="G644" s="22" t="s">
        <v>28</v>
      </c>
      <c r="H644" s="6"/>
      <c r="I644" s="6"/>
      <c r="J644" s="6"/>
      <c r="K644" s="6"/>
    </row>
    <row r="645" spans="1:11" s="5" customFormat="1" ht="76.5">
      <c r="A645" s="30" t="s">
        <v>33</v>
      </c>
      <c r="B645" s="30" t="s">
        <v>32</v>
      </c>
      <c r="C645" s="22" t="s">
        <v>29</v>
      </c>
      <c r="D645" s="16">
        <v>8.1052</v>
      </c>
      <c r="E645" s="16">
        <v>8.1052</v>
      </c>
      <c r="F645" s="16">
        <v>8.1052</v>
      </c>
      <c r="G645" s="22" t="s">
        <v>28</v>
      </c>
      <c r="H645" s="6"/>
      <c r="I645" s="6"/>
      <c r="J645" s="6"/>
      <c r="K645" s="6"/>
    </row>
    <row r="646" spans="1:11" s="5" customFormat="1" ht="38.25">
      <c r="A646" s="30" t="s">
        <v>31</v>
      </c>
      <c r="B646" s="30" t="s">
        <v>30</v>
      </c>
      <c r="C646" s="22" t="s">
        <v>29</v>
      </c>
      <c r="D646" s="16">
        <v>8.1052</v>
      </c>
      <c r="E646" s="16">
        <v>8.1052</v>
      </c>
      <c r="F646" s="16">
        <v>8.1052</v>
      </c>
      <c r="G646" s="22" t="s">
        <v>28</v>
      </c>
      <c r="H646" s="6"/>
      <c r="I646" s="6"/>
      <c r="J646" s="6"/>
      <c r="K646" s="6"/>
    </row>
    <row r="647" spans="1:11" s="5" customFormat="1" ht="25.5" customHeight="1">
      <c r="A647" s="29" t="s">
        <v>27</v>
      </c>
      <c r="B647" s="29" t="s">
        <v>26</v>
      </c>
      <c r="C647" s="22" t="s">
        <v>16</v>
      </c>
      <c r="D647" s="28">
        <f>1345.981-75.134-119.988</f>
        <v>1150.8589999999999</v>
      </c>
      <c r="E647" s="28">
        <f>F647+F648+F649+F650+F651</f>
        <v>518.28088000000002</v>
      </c>
      <c r="F647" s="16">
        <v>61.357889999999998</v>
      </c>
      <c r="G647" s="27" t="s">
        <v>15</v>
      </c>
      <c r="H647" s="6"/>
      <c r="I647" s="6"/>
      <c r="J647" s="6"/>
      <c r="K647" s="6"/>
    </row>
    <row r="648" spans="1:11" s="5" customFormat="1" ht="15">
      <c r="A648" s="25"/>
      <c r="B648" s="25"/>
      <c r="C648" s="22" t="s">
        <v>14</v>
      </c>
      <c r="D648" s="24"/>
      <c r="E648" s="24"/>
      <c r="F648" s="16">
        <v>5.7018899999999997</v>
      </c>
      <c r="G648" s="26"/>
      <c r="H648" s="6"/>
      <c r="I648" s="6"/>
      <c r="J648" s="6"/>
      <c r="K648" s="6"/>
    </row>
    <row r="649" spans="1:11" s="5" customFormat="1" ht="15">
      <c r="A649" s="25"/>
      <c r="B649" s="25"/>
      <c r="C649" s="13" t="s">
        <v>13</v>
      </c>
      <c r="D649" s="24"/>
      <c r="E649" s="24"/>
      <c r="F649" s="16"/>
      <c r="G649" s="22"/>
      <c r="H649" s="6"/>
      <c r="I649" s="6"/>
      <c r="J649" s="6"/>
      <c r="K649" s="6"/>
    </row>
    <row r="650" spans="1:11" s="5" customFormat="1" ht="15">
      <c r="A650" s="25"/>
      <c r="B650" s="25"/>
      <c r="C650" s="13" t="s">
        <v>12</v>
      </c>
      <c r="D650" s="24"/>
      <c r="E650" s="24"/>
      <c r="F650" s="16"/>
      <c r="G650" s="22"/>
      <c r="H650" s="6"/>
      <c r="I650" s="6"/>
      <c r="J650" s="6"/>
      <c r="K650" s="6"/>
    </row>
    <row r="651" spans="1:11" s="5" customFormat="1" ht="25.5">
      <c r="A651" s="23"/>
      <c r="B651" s="23"/>
      <c r="C651" s="22" t="s">
        <v>25</v>
      </c>
      <c r="D651" s="21"/>
      <c r="E651" s="21"/>
      <c r="F651" s="16">
        <v>451.22109999999998</v>
      </c>
      <c r="G651" s="22" t="s">
        <v>24</v>
      </c>
      <c r="H651" s="6"/>
      <c r="I651" s="6"/>
      <c r="J651" s="6"/>
      <c r="K651" s="6"/>
    </row>
    <row r="652" spans="1:11" s="5" customFormat="1" ht="13.9" customHeight="1">
      <c r="A652" s="29" t="s">
        <v>23</v>
      </c>
      <c r="B652" s="29" t="s">
        <v>22</v>
      </c>
      <c r="C652" s="22" t="s">
        <v>16</v>
      </c>
      <c r="D652" s="28">
        <v>1215.107</v>
      </c>
      <c r="E652" s="28">
        <f>F652+F653+F654+F655+F656+0.038</f>
        <v>75.171260000000004</v>
      </c>
      <c r="F652" s="16">
        <v>68.876840000000001</v>
      </c>
      <c r="G652" s="27" t="s">
        <v>21</v>
      </c>
      <c r="H652" s="6"/>
      <c r="I652" s="6"/>
      <c r="J652" s="6"/>
      <c r="K652" s="6"/>
    </row>
    <row r="653" spans="1:11" s="5" customFormat="1" ht="15">
      <c r="A653" s="25"/>
      <c r="B653" s="25"/>
      <c r="C653" s="22" t="s">
        <v>14</v>
      </c>
      <c r="D653" s="24"/>
      <c r="E653" s="24"/>
      <c r="F653" s="16">
        <v>6.2564200000000003</v>
      </c>
      <c r="G653" s="26"/>
      <c r="H653" s="6"/>
      <c r="I653" s="6"/>
      <c r="J653" s="6"/>
      <c r="K653" s="6"/>
    </row>
    <row r="654" spans="1:11" s="5" customFormat="1" ht="15">
      <c r="A654" s="25"/>
      <c r="B654" s="25"/>
      <c r="C654" s="13" t="s">
        <v>13</v>
      </c>
      <c r="D654" s="24"/>
      <c r="E654" s="24"/>
      <c r="F654" s="16"/>
      <c r="G654" s="22"/>
      <c r="H654" s="6"/>
      <c r="I654" s="6"/>
      <c r="J654" s="6"/>
      <c r="K654" s="6"/>
    </row>
    <row r="655" spans="1:11" s="5" customFormat="1" ht="15">
      <c r="A655" s="25"/>
      <c r="B655" s="25"/>
      <c r="C655" s="13" t="s">
        <v>12</v>
      </c>
      <c r="D655" s="24"/>
      <c r="E655" s="24"/>
      <c r="F655" s="16"/>
      <c r="G655" s="22"/>
      <c r="H655" s="6"/>
      <c r="I655" s="6"/>
      <c r="J655" s="6"/>
      <c r="K655" s="6"/>
    </row>
    <row r="656" spans="1:11" s="5" customFormat="1" ht="15">
      <c r="A656" s="23"/>
      <c r="B656" s="23"/>
      <c r="C656" s="22" t="s">
        <v>11</v>
      </c>
      <c r="D656" s="21"/>
      <c r="E656" s="21"/>
      <c r="F656" s="16"/>
      <c r="G656" s="22"/>
      <c r="H656" s="6"/>
      <c r="I656" s="6"/>
      <c r="J656" s="6"/>
      <c r="K656" s="6"/>
    </row>
    <row r="657" spans="1:11" s="5" customFormat="1" ht="13.9" customHeight="1">
      <c r="A657" s="29" t="s">
        <v>20</v>
      </c>
      <c r="B657" s="29" t="s">
        <v>19</v>
      </c>
      <c r="C657" s="22" t="s">
        <v>16</v>
      </c>
      <c r="D657" s="28">
        <f>E657</f>
        <v>67.649259999999998</v>
      </c>
      <c r="E657" s="28">
        <f>F657+F658+F659+F660+F661</f>
        <v>67.649259999999998</v>
      </c>
      <c r="F657" s="16">
        <v>61.947369999999999</v>
      </c>
      <c r="G657" s="27" t="s">
        <v>15</v>
      </c>
      <c r="H657" s="6"/>
      <c r="I657" s="6"/>
      <c r="J657" s="6"/>
      <c r="K657" s="6"/>
    </row>
    <row r="658" spans="1:11" s="5" customFormat="1" ht="15">
      <c r="A658" s="25"/>
      <c r="B658" s="25"/>
      <c r="C658" s="22" t="s">
        <v>14</v>
      </c>
      <c r="D658" s="24"/>
      <c r="E658" s="24"/>
      <c r="F658" s="16">
        <v>5.7018899999999997</v>
      </c>
      <c r="G658" s="26"/>
      <c r="H658" s="6"/>
      <c r="I658" s="6"/>
      <c r="J658" s="6"/>
      <c r="K658" s="6"/>
    </row>
    <row r="659" spans="1:11" s="5" customFormat="1" ht="15">
      <c r="A659" s="25"/>
      <c r="B659" s="25"/>
      <c r="C659" s="13" t="s">
        <v>13</v>
      </c>
      <c r="D659" s="24"/>
      <c r="E659" s="24"/>
      <c r="F659" s="16"/>
      <c r="G659" s="20"/>
      <c r="H659" s="6"/>
      <c r="I659" s="6"/>
      <c r="J659" s="6"/>
      <c r="K659" s="6"/>
    </row>
    <row r="660" spans="1:11" s="5" customFormat="1" ht="15">
      <c r="A660" s="25"/>
      <c r="B660" s="25"/>
      <c r="C660" s="13" t="s">
        <v>12</v>
      </c>
      <c r="D660" s="24"/>
      <c r="E660" s="24"/>
      <c r="F660" s="16"/>
      <c r="G660" s="20"/>
      <c r="H660" s="6"/>
      <c r="I660" s="6"/>
      <c r="J660" s="6"/>
      <c r="K660" s="6"/>
    </row>
    <row r="661" spans="1:11" s="5" customFormat="1" ht="15">
      <c r="A661" s="23"/>
      <c r="B661" s="23"/>
      <c r="C661" s="22" t="s">
        <v>11</v>
      </c>
      <c r="D661" s="21"/>
      <c r="E661" s="21"/>
      <c r="F661" s="16"/>
      <c r="G661" s="20"/>
      <c r="H661" s="6"/>
      <c r="I661" s="6"/>
      <c r="J661" s="6"/>
      <c r="K661" s="6"/>
    </row>
    <row r="662" spans="1:11" s="5" customFormat="1" ht="13.9" customHeight="1">
      <c r="A662" s="29" t="s">
        <v>18</v>
      </c>
      <c r="B662" s="29" t="s">
        <v>17</v>
      </c>
      <c r="C662" s="22" t="s">
        <v>16</v>
      </c>
      <c r="D662" s="28">
        <f>E662</f>
        <v>1424.8943199999999</v>
      </c>
      <c r="E662" s="28">
        <f>F662+F663+F664+F665+F666</f>
        <v>1424.8943199999999</v>
      </c>
      <c r="F662" s="21">
        <v>97.431579999999997</v>
      </c>
      <c r="G662" s="27" t="s">
        <v>15</v>
      </c>
      <c r="H662" s="6"/>
      <c r="I662" s="6"/>
      <c r="J662" s="6"/>
      <c r="K662" s="6"/>
    </row>
    <row r="663" spans="1:11" s="5" customFormat="1" ht="15">
      <c r="A663" s="25"/>
      <c r="B663" s="25"/>
      <c r="C663" s="22" t="s">
        <v>14</v>
      </c>
      <c r="D663" s="24"/>
      <c r="E663" s="24"/>
      <c r="F663" s="21">
        <v>7.1027399999999998</v>
      </c>
      <c r="G663" s="26"/>
      <c r="H663" s="6"/>
      <c r="I663" s="6"/>
      <c r="J663" s="6"/>
      <c r="K663" s="6"/>
    </row>
    <row r="664" spans="1:11" s="5" customFormat="1" ht="15">
      <c r="A664" s="25"/>
      <c r="B664" s="25"/>
      <c r="C664" s="13" t="s">
        <v>13</v>
      </c>
      <c r="D664" s="24"/>
      <c r="E664" s="24"/>
      <c r="F664" s="21"/>
      <c r="G664" s="20"/>
      <c r="H664" s="6"/>
      <c r="I664" s="6"/>
      <c r="J664" s="6"/>
      <c r="K664" s="6"/>
    </row>
    <row r="665" spans="1:11" s="5" customFormat="1" ht="15">
      <c r="A665" s="25"/>
      <c r="B665" s="25"/>
      <c r="C665" s="13" t="s">
        <v>12</v>
      </c>
      <c r="D665" s="24"/>
      <c r="E665" s="24"/>
      <c r="F665" s="21"/>
      <c r="G665" s="20"/>
      <c r="H665" s="6"/>
      <c r="I665" s="6"/>
      <c r="J665" s="6"/>
      <c r="K665" s="6"/>
    </row>
    <row r="666" spans="1:11" s="5" customFormat="1" ht="25.5">
      <c r="A666" s="23"/>
      <c r="B666" s="23"/>
      <c r="C666" s="22" t="s">
        <v>11</v>
      </c>
      <c r="D666" s="21"/>
      <c r="E666" s="21"/>
      <c r="F666" s="21">
        <v>1320.36</v>
      </c>
      <c r="G666" s="20" t="s">
        <v>10</v>
      </c>
      <c r="H666" s="6"/>
      <c r="I666" s="6"/>
      <c r="J666" s="6"/>
      <c r="K666" s="6"/>
    </row>
    <row r="667" spans="1:11" s="5" customFormat="1" ht="15">
      <c r="A667" s="15" t="s">
        <v>2</v>
      </c>
      <c r="B667" s="6"/>
      <c r="C667" s="13"/>
      <c r="D667" s="12">
        <v>13600</v>
      </c>
      <c r="E667" s="12">
        <f>SUM(E612:E666)</f>
        <v>10077.999669999997</v>
      </c>
      <c r="F667" s="19">
        <f>SUM(F612:F666)</f>
        <v>10077.961670000002</v>
      </c>
      <c r="G667" s="11"/>
      <c r="H667" s="6"/>
      <c r="I667" s="6"/>
      <c r="J667" s="6"/>
      <c r="K667" s="6"/>
    </row>
    <row r="668" spans="1:11" s="5" customFormat="1" ht="25.5">
      <c r="A668" s="18" t="s">
        <v>9</v>
      </c>
      <c r="B668" s="18" t="s">
        <v>8</v>
      </c>
      <c r="C668" s="13"/>
      <c r="D668" s="17">
        <v>479.75</v>
      </c>
      <c r="E668" s="12">
        <v>479.75</v>
      </c>
      <c r="F668" s="19"/>
      <c r="G668" s="11"/>
      <c r="H668" s="6"/>
      <c r="I668" s="6"/>
      <c r="J668" s="6"/>
      <c r="K668" s="6"/>
    </row>
    <row r="669" spans="1:11" s="5" customFormat="1" ht="15">
      <c r="A669" s="15" t="s">
        <v>2</v>
      </c>
      <c r="B669" s="14"/>
      <c r="C669" s="13"/>
      <c r="D669" s="12">
        <f>D668</f>
        <v>479.75</v>
      </c>
      <c r="E669" s="12">
        <f>D669</f>
        <v>479.75</v>
      </c>
      <c r="F669" s="19"/>
      <c r="G669" s="11"/>
      <c r="H669" s="6"/>
      <c r="I669" s="6"/>
      <c r="J669" s="6"/>
      <c r="K669" s="6"/>
    </row>
    <row r="670" spans="1:11" s="5" customFormat="1" ht="51">
      <c r="A670" s="18" t="s">
        <v>7</v>
      </c>
      <c r="B670" s="18" t="s">
        <v>6</v>
      </c>
      <c r="C670" s="13" t="s">
        <v>5</v>
      </c>
      <c r="D670" s="17">
        <v>86.4</v>
      </c>
      <c r="E670" s="17">
        <v>21.6</v>
      </c>
      <c r="F670" s="16">
        <v>21.6</v>
      </c>
      <c r="G670" s="14" t="s">
        <v>4</v>
      </c>
      <c r="H670" s="6"/>
      <c r="I670" s="6"/>
      <c r="J670" s="6"/>
      <c r="K670" s="6"/>
    </row>
    <row r="671" spans="1:11" s="5" customFormat="1" ht="15">
      <c r="A671" s="18" t="s">
        <v>3</v>
      </c>
      <c r="B671" s="18"/>
      <c r="C671" s="13"/>
      <c r="D671" s="17">
        <v>41.058999999999997</v>
      </c>
      <c r="E671" s="12"/>
      <c r="F671" s="16"/>
      <c r="G671" s="11"/>
      <c r="H671" s="6"/>
      <c r="I671" s="6"/>
      <c r="J671" s="6"/>
      <c r="K671" s="6"/>
    </row>
    <row r="672" spans="1:11" s="5" customFormat="1" ht="15" customHeight="1">
      <c r="A672" s="15" t="s">
        <v>2</v>
      </c>
      <c r="B672" s="14"/>
      <c r="C672" s="13"/>
      <c r="D672" s="12">
        <f>D670+D671</f>
        <v>127.459</v>
      </c>
      <c r="E672" s="12">
        <f>E670+E671</f>
        <v>21.6</v>
      </c>
      <c r="F672" s="12">
        <f>F670+F671</f>
        <v>21.6</v>
      </c>
      <c r="G672" s="11"/>
      <c r="H672" s="6"/>
      <c r="I672" s="6"/>
      <c r="J672" s="6"/>
      <c r="K672" s="6"/>
    </row>
    <row r="673" spans="1:11" s="5" customFormat="1" ht="15">
      <c r="A673" s="10"/>
      <c r="B673" s="9" t="s">
        <v>1</v>
      </c>
      <c r="C673" s="7" t="s">
        <v>0</v>
      </c>
      <c r="D673" s="8">
        <f>D611+D667+D669+D672</f>
        <v>20143.808999999997</v>
      </c>
      <c r="E673" s="8">
        <f>E611+E667+E669+E672</f>
        <v>14273.949669999998</v>
      </c>
      <c r="F673" s="8">
        <f>F611+F667+F669+F672</f>
        <v>13793.742670000003</v>
      </c>
      <c r="G673" s="7" t="s">
        <v>0</v>
      </c>
      <c r="H673" s="6"/>
      <c r="I673" s="6"/>
      <c r="J673" s="6"/>
      <c r="K673" s="6"/>
    </row>
  </sheetData>
  <mergeCells count="55">
    <mergeCell ref="B481:B484"/>
    <mergeCell ref="A486:A487"/>
    <mergeCell ref="B486:B487"/>
    <mergeCell ref="D451:D454"/>
    <mergeCell ref="A458:A460"/>
    <mergeCell ref="B458:B460"/>
    <mergeCell ref="D458:D460"/>
    <mergeCell ref="A489:A490"/>
    <mergeCell ref="B489:B490"/>
    <mergeCell ref="D489:D490"/>
    <mergeCell ref="A477:A480"/>
    <mergeCell ref="B477:B480"/>
    <mergeCell ref="A481:A484"/>
    <mergeCell ref="A468:A469"/>
    <mergeCell ref="B468:B469"/>
    <mergeCell ref="A473:A476"/>
    <mergeCell ref="B473:B476"/>
    <mergeCell ref="A451:A454"/>
    <mergeCell ref="B451:B454"/>
    <mergeCell ref="A440:G440"/>
    <mergeCell ref="A530:G530"/>
    <mergeCell ref="A576:G576"/>
    <mergeCell ref="A494:G494"/>
    <mergeCell ref="A444:A446"/>
    <mergeCell ref="B444:B446"/>
    <mergeCell ref="D444:D450"/>
    <mergeCell ref="E447:E449"/>
    <mergeCell ref="A465:A467"/>
    <mergeCell ref="B465:B467"/>
    <mergeCell ref="A447:A449"/>
    <mergeCell ref="B447:B449"/>
    <mergeCell ref="A4:G4"/>
    <mergeCell ref="A223:G223"/>
    <mergeCell ref="A434:G434"/>
    <mergeCell ref="A443:G443"/>
    <mergeCell ref="A345:G345"/>
    <mergeCell ref="A65:G65"/>
    <mergeCell ref="A418:G418"/>
    <mergeCell ref="A421:G421"/>
    <mergeCell ref="A7:G7"/>
    <mergeCell ref="A58:G58"/>
    <mergeCell ref="A69:G69"/>
    <mergeCell ref="A87:G87"/>
    <mergeCell ref="A106:G106"/>
    <mergeCell ref="E444:E446"/>
    <mergeCell ref="A431:G431"/>
    <mergeCell ref="A424:G424"/>
    <mergeCell ref="A428:G428"/>
    <mergeCell ref="A437:G437"/>
    <mergeCell ref="A1:G1"/>
    <mergeCell ref="A2:A3"/>
    <mergeCell ref="B2:B3"/>
    <mergeCell ref="C2:C3"/>
    <mergeCell ref="D2:F2"/>
    <mergeCell ref="G2:G3"/>
  </mergeCells>
  <pageMargins left="0.70866141732283472" right="0.27559055118110237" top="0.31496062992125984" bottom="0.39370078740157483" header="0.31496062992125984" footer="0.31496062992125984"/>
  <pageSetup paperSize="9" scale="82" fitToHeight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Будівництво Капітальн ремонти</vt:lpstr>
      <vt:lpstr>Лист1</vt:lpstr>
      <vt:lpstr>Лист2</vt:lpstr>
      <vt:lpstr>Лист3</vt:lpstr>
      <vt:lpstr>'Будівництво Капітальн ремонти'!Заголовки_для_печати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User_452d</dc:creator>
  <cp:lastModifiedBy>User_452d</cp:lastModifiedBy>
  <dcterms:created xsi:type="dcterms:W3CDTF">2019-06-03T07:07:22Z</dcterms:created>
  <dcterms:modified xsi:type="dcterms:W3CDTF">2019-06-03T07:08:40Z</dcterms:modified>
</cp:coreProperties>
</file>