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<sst xmlns="http://schemas.openxmlformats.org/spreadsheetml/2006/main" count="184" uniqueCount="75">
  <si>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</si>
  <si>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</si>
  <si>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</si>
  <si>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</si>
  <si>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</si>
  <si>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</si>
  <si>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</si>
  <si>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</si>
  <si>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</si>
  <si>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</si>
  <si>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</si>
  <si>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</si>
  <si>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</si>
  <si>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</si>
  <si>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</si>
  <si>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</si>
  <si>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</si>
  <si>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</si>
  <si>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</si>
  <si>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</si>
  <si>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</si>
  <si>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</si>
  <si>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</si>
  <si>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</si>
  <si>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</si>
  <si>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</si>
  <si>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</si>
  <si>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</si>
  <si>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</si>
  <si>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</si>
  <si>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</si>
  <si>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</si>
  <si>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</si>
  <si>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</si>
  <si>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</si>
  <si>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</si>
  <si>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</si>
  <si>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</si>
  <si>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</si>
  <si>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</si>
  <si>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</si>
  <si>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</si>
  <si>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</si>
  <si>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</si>
  <si>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</si>
  <si>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</si>
  <si>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</si>
  <si>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</si>
  <si>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</si>
  <si>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</si>
  <si>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</si>
  <si>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</si>
  <si>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</si>
  <si>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</si>
  <si>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</si>
  <si>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</si>
  <si>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</si>
  <si>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</si>
  <si>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</si>
  <si>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</si>
  <si>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</si>
  <si>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</si>
  <si>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</si>
  <si>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</si>
  <si>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</si>
  <si>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</si>
  <si>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</si>
  <si>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</si>
  <si>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</si>
  <si>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</si>
  <si>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</si>
  <si>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 xml:space="preserve">План на январь-май с учетом изменений, тыс. грн. </t>
  </si>
  <si>
    <t>План на січень-червень, з урахуванням змін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</si>
  <si>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29 червня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</si>
  <si>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29 июня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</si>
</sst>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69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72</v>
      </c>
      <c r="D3" s="70" t="s">
        <v>73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724645.208</v>
      </c>
      <c r="C5" s="18">
        <f>C6+C13</f>
        <v>403779.042</v>
      </c>
      <c r="D5" s="18">
        <f>D6+D13</f>
        <v>370466.532</v>
      </c>
      <c r="E5" s="19">
        <f aca="true" t="shared" si="0" ref="E5:E36">SUM(D5)/B5*100</f>
        <v>51.12385039052104</v>
      </c>
      <c r="F5" s="19">
        <f>SUM(D5)/C5*100</f>
        <v>91.74981697044097</v>
      </c>
    </row>
    <row r="6" spans="1:6" s="14" customFormat="1" ht="16.5" customHeight="1">
      <c r="A6" s="30" t="s">
        <v>32</v>
      </c>
      <c r="B6" s="25">
        <v>687920.419</v>
      </c>
      <c r="C6" s="25">
        <v>390767.914</v>
      </c>
      <c r="D6" s="25">
        <v>364204.335</v>
      </c>
      <c r="E6" s="20">
        <f t="shared" si="0"/>
        <v>52.94280049564861</v>
      </c>
      <c r="F6" s="20">
        <f>SUM(D6)/C6*100</f>
        <v>93.20221081406392</v>
      </c>
    </row>
    <row r="7" spans="1:6" s="3" customFormat="1" ht="14.25" customHeight="1">
      <c r="A7" s="12" t="s">
        <v>1</v>
      </c>
      <c r="B7" s="11">
        <v>401715.273</v>
      </c>
      <c r="C7" s="11">
        <v>237089.595</v>
      </c>
      <c r="D7" s="11">
        <f>228080.047+31.971</f>
        <v>228112.01799999998</v>
      </c>
      <c r="E7" s="20">
        <f t="shared" si="0"/>
        <v>56.784502191431486</v>
      </c>
      <c r="F7" s="20">
        <f aca="true" t="shared" si="1" ref="F7:F73">SUM(D7)/C7*100</f>
        <v>96.21342429641419</v>
      </c>
    </row>
    <row r="8" spans="1:6" s="3" customFormat="1" ht="15">
      <c r="A8" s="12" t="s">
        <v>27</v>
      </c>
      <c r="B8" s="11">
        <v>88410.024</v>
      </c>
      <c r="C8" s="11">
        <v>52459.373</v>
      </c>
      <c r="D8" s="11">
        <v>50569.457</v>
      </c>
      <c r="E8" s="20">
        <f t="shared" si="0"/>
        <v>57.198782120000324</v>
      </c>
      <c r="F8" s="20">
        <f t="shared" si="1"/>
        <v>96.39737211498888</v>
      </c>
    </row>
    <row r="9" spans="1:6" s="3" customFormat="1" ht="15">
      <c r="A9" s="12" t="s">
        <v>4</v>
      </c>
      <c r="B9" s="11">
        <v>153.271</v>
      </c>
      <c r="C9" s="11">
        <v>19.152</v>
      </c>
      <c r="D9" s="11">
        <v>14.203</v>
      </c>
      <c r="E9" s="20">
        <f t="shared" si="0"/>
        <v>9.26659315852314</v>
      </c>
      <c r="F9" s="20"/>
    </row>
    <row r="10" spans="1:6" s="3" customFormat="1" ht="15">
      <c r="A10" s="12" t="s">
        <v>5</v>
      </c>
      <c r="B10" s="11">
        <v>47825.907</v>
      </c>
      <c r="C10" s="11">
        <v>22088.205</v>
      </c>
      <c r="D10" s="11">
        <f>19541.705+36.83</f>
        <v>19578.535000000003</v>
      </c>
      <c r="E10" s="20">
        <f t="shared" si="0"/>
        <v>40.937090853290044</v>
      </c>
      <c r="F10" s="20">
        <f t="shared" si="1"/>
        <v>88.63796311198669</v>
      </c>
    </row>
    <row r="11" spans="1:6" s="3" customFormat="1" ht="15">
      <c r="A11" s="12" t="s">
        <v>29</v>
      </c>
      <c r="B11" s="11">
        <v>92734.871</v>
      </c>
      <c r="C11" s="11">
        <v>47490.21</v>
      </c>
      <c r="D11" s="11">
        <f>43313.966+0.416</f>
        <v>43314.382</v>
      </c>
      <c r="E11" s="20">
        <f t="shared" si="0"/>
        <v>46.707761096686056</v>
      </c>
      <c r="F11" s="20">
        <f t="shared" si="1"/>
        <v>91.20697086831159</v>
      </c>
    </row>
    <row r="12" spans="1:6" s="3" customFormat="1" ht="15">
      <c r="A12" s="12" t="s">
        <v>13</v>
      </c>
      <c r="B12" s="11">
        <f>SUM(B6)-B7-B8-B9-B10-B11</f>
        <v>57081.07299999999</v>
      </c>
      <c r="C12" s="11">
        <f>SUM(C6)-C7-C8-C9-C10-C11</f>
        <v>31621.378999999994</v>
      </c>
      <c r="D12" s="11">
        <f>SUM(D6)-D7-D8-D9-D10-D11</f>
        <v>22615.74000000005</v>
      </c>
      <c r="E12" s="20">
        <f t="shared" si="0"/>
        <v>39.62038345004491</v>
      </c>
      <c r="F12" s="20">
        <f t="shared" si="1"/>
        <v>71.52041028950715</v>
      </c>
    </row>
    <row r="13" spans="1:6" s="3" customFormat="1" ht="15">
      <c r="A13" s="30" t="s">
        <v>14</v>
      </c>
      <c r="B13" s="25">
        <v>36724.789</v>
      </c>
      <c r="C13" s="25">
        <f>7.5+10201.564+2802.064</f>
        <v>13011.128</v>
      </c>
      <c r="D13" s="25">
        <v>6262.197</v>
      </c>
      <c r="E13" s="20">
        <f t="shared" si="0"/>
        <v>17.051689527746504</v>
      </c>
      <c r="F13" s="20">
        <f t="shared" si="1"/>
        <v>48.12954726139041</v>
      </c>
    </row>
    <row r="14" spans="1:6" s="2" customFormat="1" ht="14.25">
      <c r="A14" s="17" t="s">
        <v>6</v>
      </c>
      <c r="B14" s="18">
        <f>B15+B22</f>
        <v>389911.61199999996</v>
      </c>
      <c r="C14" s="18">
        <f>C15+C22</f>
        <v>191432.19</v>
      </c>
      <c r="D14" s="18">
        <f>D15+D22</f>
        <v>174936.45200000002</v>
      </c>
      <c r="E14" s="19">
        <f t="shared" si="0"/>
        <v>44.86566868390676</v>
      </c>
      <c r="F14" s="19">
        <f t="shared" si="1"/>
        <v>91.38298632011681</v>
      </c>
    </row>
    <row r="15" spans="1:6" s="14" customFormat="1" ht="15">
      <c r="A15" s="30" t="s">
        <v>31</v>
      </c>
      <c r="B15" s="25">
        <f>349580.812+25271</f>
        <v>374851.812</v>
      </c>
      <c r="C15" s="25">
        <f>173753.884+12615.2</f>
        <v>186369.084</v>
      </c>
      <c r="D15" s="25">
        <f>160983.948+12615.2</f>
        <v>173599.14800000002</v>
      </c>
      <c r="E15" s="20">
        <f t="shared" si="0"/>
        <v>46.31140691938286</v>
      </c>
      <c r="F15" s="20">
        <f>SUM(D15)/C15*100</f>
        <v>93.14803951067336</v>
      </c>
    </row>
    <row r="16" spans="1:6" s="3" customFormat="1" ht="15">
      <c r="A16" s="12" t="s">
        <v>1</v>
      </c>
      <c r="B16" s="11">
        <v>221602.052</v>
      </c>
      <c r="C16" s="11">
        <v>106743.987</v>
      </c>
      <c r="D16" s="11">
        <v>104026.749</v>
      </c>
      <c r="E16" s="20">
        <f t="shared" si="0"/>
        <v>46.94304410141473</v>
      </c>
      <c r="F16" s="20">
        <f t="shared" si="1"/>
        <v>97.45443459967446</v>
      </c>
    </row>
    <row r="17" spans="1:6" s="3" customFormat="1" ht="15">
      <c r="A17" s="12" t="s">
        <v>27</v>
      </c>
      <c r="B17" s="11">
        <v>48697.18</v>
      </c>
      <c r="C17" s="11">
        <v>23441.149</v>
      </c>
      <c r="D17" s="11">
        <v>22619.6</v>
      </c>
      <c r="E17" s="20">
        <f t="shared" si="0"/>
        <v>46.449506932434275</v>
      </c>
      <c r="F17" s="20">
        <f t="shared" si="1"/>
        <v>96.49526992042922</v>
      </c>
    </row>
    <row r="18" spans="1:6" s="3" customFormat="1" ht="15">
      <c r="A18" s="12" t="s">
        <v>4</v>
      </c>
      <c r="B18" s="11">
        <v>16661.896</v>
      </c>
      <c r="C18" s="11">
        <v>9051.835</v>
      </c>
      <c r="D18" s="11">
        <v>7365.77</v>
      </c>
      <c r="E18" s="20">
        <f t="shared" si="0"/>
        <v>44.2072738900783</v>
      </c>
      <c r="F18" s="20">
        <f t="shared" si="1"/>
        <v>81.37322432412877</v>
      </c>
    </row>
    <row r="19" spans="1:6" s="3" customFormat="1" ht="15">
      <c r="A19" s="12" t="s">
        <v>5</v>
      </c>
      <c r="B19" s="11">
        <v>6745.744</v>
      </c>
      <c r="C19" s="11">
        <v>3987.459</v>
      </c>
      <c r="D19" s="11">
        <v>2752.782</v>
      </c>
      <c r="E19" s="20">
        <f t="shared" si="0"/>
        <v>40.80768555699713</v>
      </c>
      <c r="F19" s="20">
        <f t="shared" si="1"/>
        <v>69.03599510364872</v>
      </c>
    </row>
    <row r="20" spans="1:6" s="3" customFormat="1" ht="15">
      <c r="A20" s="12" t="s">
        <v>29</v>
      </c>
      <c r="B20" s="11">
        <v>36131.055</v>
      </c>
      <c r="C20" s="11">
        <v>19721.63</v>
      </c>
      <c r="D20" s="11">
        <v>15952.634</v>
      </c>
      <c r="E20" s="20">
        <f t="shared" si="0"/>
        <v>44.15214003576701</v>
      </c>
      <c r="F20" s="20">
        <f t="shared" si="1"/>
        <v>80.88902387885788</v>
      </c>
    </row>
    <row r="21" spans="1:6" s="3" customFormat="1" ht="15">
      <c r="A21" s="51" t="s">
        <v>13</v>
      </c>
      <c r="B21" s="11">
        <f>SUM(B15)-B16-B17-B18-B19-B20</f>
        <v>45013.88499999997</v>
      </c>
      <c r="C21" s="11">
        <f>SUM(C15)-C16-C17-C18-C19-C20</f>
        <v>23423.024</v>
      </c>
      <c r="D21" s="11">
        <f>SUM(D15)-D16-D17-D18-D19-D20</f>
        <v>20881.613000000027</v>
      </c>
      <c r="E21" s="20">
        <f t="shared" si="0"/>
        <v>46.38927077722805</v>
      </c>
      <c r="F21" s="20">
        <f t="shared" si="1"/>
        <v>89.14994494306127</v>
      </c>
    </row>
    <row r="22" spans="1:6" s="3" customFormat="1" ht="15">
      <c r="A22" s="52" t="s">
        <v>14</v>
      </c>
      <c r="B22" s="25">
        <f>15049.8+10</f>
        <v>15059.8</v>
      </c>
      <c r="C22" s="25">
        <f>2266.006+2797.1</f>
        <v>5063.106</v>
      </c>
      <c r="D22" s="25">
        <v>1337.304</v>
      </c>
      <c r="E22" s="20">
        <f t="shared" si="0"/>
        <v>8.87995856518679</v>
      </c>
      <c r="F22" s="20">
        <f t="shared" si="1"/>
        <v>26.412719781098797</v>
      </c>
    </row>
    <row r="23" spans="1:6" s="2" customFormat="1" ht="28.5">
      <c r="A23" s="17" t="s">
        <v>26</v>
      </c>
      <c r="B23" s="18">
        <f>B24+B34</f>
        <v>705460.383</v>
      </c>
      <c r="C23" s="18">
        <f>C24+C34</f>
        <v>390484.816</v>
      </c>
      <c r="D23" s="18">
        <f>D24+D34</f>
        <v>384804.142</v>
      </c>
      <c r="E23" s="19">
        <f t="shared" si="0"/>
        <v>54.54652752626649</v>
      </c>
      <c r="F23" s="19">
        <f t="shared" si="1"/>
        <v>98.54522537951898</v>
      </c>
    </row>
    <row r="24" spans="1:6" s="14" customFormat="1" ht="15">
      <c r="A24" s="30" t="s">
        <v>31</v>
      </c>
      <c r="B24" s="25">
        <v>701503.647</v>
      </c>
      <c r="C24" s="25">
        <v>388129.345</v>
      </c>
      <c r="D24" s="25">
        <v>384669.586</v>
      </c>
      <c r="E24" s="20">
        <f t="shared" si="0"/>
        <v>54.83500871949138</v>
      </c>
      <c r="F24" s="20">
        <f>SUM(D24)/C24*100</f>
        <v>99.10860669398755</v>
      </c>
    </row>
    <row r="25" spans="1:6" s="3" customFormat="1" ht="15">
      <c r="A25" s="12" t="s">
        <v>1</v>
      </c>
      <c r="B25" s="11">
        <f>14660.587+636.762</f>
        <v>15297.349</v>
      </c>
      <c r="C25" s="11">
        <v>7452.004</v>
      </c>
      <c r="D25" s="11">
        <v>7269.553</v>
      </c>
      <c r="E25" s="20">
        <f t="shared" si="0"/>
        <v>47.52165228105863</v>
      </c>
      <c r="F25" s="20">
        <f t="shared" si="1"/>
        <v>97.55165187780361</v>
      </c>
    </row>
    <row r="26" spans="1:6" s="3" customFormat="1" ht="15">
      <c r="A26" s="12" t="s">
        <v>27</v>
      </c>
      <c r="B26" s="11">
        <v>3353.598</v>
      </c>
      <c r="C26" s="11">
        <v>1625.611</v>
      </c>
      <c r="D26" s="11">
        <v>1581.463</v>
      </c>
      <c r="E26" s="20">
        <f t="shared" si="0"/>
        <v>47.15720250310264</v>
      </c>
      <c r="F26" s="20">
        <f t="shared" si="1"/>
        <v>97.28422113285404</v>
      </c>
    </row>
    <row r="27" spans="1:6" s="3" customFormat="1" ht="15">
      <c r="A27" s="12" t="s">
        <v>4</v>
      </c>
      <c r="B27" s="11">
        <v>72.57</v>
      </c>
      <c r="C27" s="11">
        <v>39.6</v>
      </c>
      <c r="D27" s="11">
        <v>39.599</v>
      </c>
      <c r="E27" s="20">
        <f t="shared" si="0"/>
        <v>54.56662532727022</v>
      </c>
      <c r="F27" s="20">
        <f t="shared" si="1"/>
        <v>99.99747474747474</v>
      </c>
    </row>
    <row r="28" spans="1:6" s="3" customFormat="1" ht="15">
      <c r="A28" s="12" t="s">
        <v>5</v>
      </c>
      <c r="B28" s="11">
        <v>276.527</v>
      </c>
      <c r="C28" s="11">
        <v>123.915</v>
      </c>
      <c r="D28" s="11">
        <v>122.938</v>
      </c>
      <c r="E28" s="20">
        <f t="shared" si="0"/>
        <v>44.45786487395444</v>
      </c>
      <c r="F28" s="20">
        <f t="shared" si="1"/>
        <v>99.21155630876002</v>
      </c>
    </row>
    <row r="29" spans="1:6" s="3" customFormat="1" ht="15">
      <c r="A29" s="12" t="s">
        <v>29</v>
      </c>
      <c r="B29" s="11">
        <v>1309.543</v>
      </c>
      <c r="C29" s="11">
        <v>756.903</v>
      </c>
      <c r="D29" s="11">
        <v>578.608</v>
      </c>
      <c r="E29" s="20">
        <f t="shared" si="0"/>
        <v>44.18396341319071</v>
      </c>
      <c r="F29" s="20">
        <f t="shared" si="1"/>
        <v>76.44414145537802</v>
      </c>
    </row>
    <row r="30" spans="1:6" s="3" customFormat="1" ht="15">
      <c r="A30" s="12" t="s">
        <v>13</v>
      </c>
      <c r="B30" s="11">
        <f>SUM(B24)-B25-B26-B27-B28-B29</f>
        <v>681194.06</v>
      </c>
      <c r="C30" s="11">
        <f>SUM(C24)-C25-C26-C27-C28-C29</f>
        <v>378131.31200000003</v>
      </c>
      <c r="D30" s="11">
        <f>SUM(D24)-D25-D26-D27-D28-D29</f>
        <v>375077.425</v>
      </c>
      <c r="E30" s="20">
        <f t="shared" si="0"/>
        <v>55.06175802531219</v>
      </c>
      <c r="F30" s="20">
        <f t="shared" si="1"/>
        <v>99.19237394442489</v>
      </c>
    </row>
    <row r="31" spans="1:6" s="3" customFormat="1" ht="15">
      <c r="A31" s="12" t="s">
        <v>18</v>
      </c>
      <c r="B31" s="11">
        <f>SUM(B32:B33)</f>
        <v>657774.8</v>
      </c>
      <c r="C31" s="11">
        <f>SUM(C32:C33)</f>
        <v>366373.208</v>
      </c>
      <c r="D31" s="11">
        <f>SUM(D32:D33)</f>
        <v>366364.83999999997</v>
      </c>
      <c r="E31" s="20">
        <f t="shared" si="0"/>
        <v>55.697609577016316</v>
      </c>
      <c r="F31" s="20">
        <f>SUM(D31)/C31*100</f>
        <v>99.99771599019324</v>
      </c>
    </row>
    <row r="32" spans="1:6" s="3" customFormat="1" ht="30">
      <c r="A32" s="13" t="s">
        <v>22</v>
      </c>
      <c r="B32" s="11">
        <v>424514.7</v>
      </c>
      <c r="C32" s="11">
        <v>218853.908</v>
      </c>
      <c r="D32" s="67">
        <v>218853.908</v>
      </c>
      <c r="E32" s="20">
        <f t="shared" si="0"/>
        <v>51.55390567158216</v>
      </c>
      <c r="F32" s="20">
        <f>SUM(D32)/C32*100</f>
        <v>100</v>
      </c>
    </row>
    <row r="33" spans="1:6" s="3" customFormat="1" ht="15">
      <c r="A33" s="13" t="s">
        <v>19</v>
      </c>
      <c r="B33" s="11">
        <v>233260.1</v>
      </c>
      <c r="C33" s="11">
        <v>147519.3</v>
      </c>
      <c r="D33" s="11">
        <v>147510.932</v>
      </c>
      <c r="E33" s="20">
        <f t="shared" si="0"/>
        <v>63.23881881213289</v>
      </c>
      <c r="F33" s="20">
        <f>SUM(D33)/C33*100</f>
        <v>99.99432752189037</v>
      </c>
    </row>
    <row r="34" spans="1:6" s="3" customFormat="1" ht="15">
      <c r="A34" s="30" t="s">
        <v>14</v>
      </c>
      <c r="B34" s="25">
        <v>3956.736</v>
      </c>
      <c r="C34" s="25">
        <f>1009.853+1345.618</f>
        <v>2355.471</v>
      </c>
      <c r="D34" s="25">
        <v>134.556</v>
      </c>
      <c r="E34" s="20">
        <f t="shared" si="0"/>
        <v>3.4006817740683233</v>
      </c>
      <c r="F34" s="20">
        <f>SUM(D34)/C34*100</f>
        <v>5.712488075633281</v>
      </c>
    </row>
    <row r="35" spans="1:6" s="2" customFormat="1" ht="14.25">
      <c r="A35" s="17" t="s">
        <v>7</v>
      </c>
      <c r="B35" s="18">
        <f>B36+B41</f>
        <v>96946.568</v>
      </c>
      <c r="C35" s="18">
        <f>C36+C41</f>
        <v>53564.383</v>
      </c>
      <c r="D35" s="18">
        <f>D36+D41</f>
        <v>44714.45799999999</v>
      </c>
      <c r="E35" s="19">
        <f t="shared" si="0"/>
        <v>46.12278590408687</v>
      </c>
      <c r="F35" s="19">
        <f>SUM(D35)/C35*100</f>
        <v>83.47796706628729</v>
      </c>
    </row>
    <row r="36" spans="1:6" s="14" customFormat="1" ht="15">
      <c r="A36" s="30" t="s">
        <v>31</v>
      </c>
      <c r="B36" s="25">
        <v>87324.4</v>
      </c>
      <c r="C36" s="25">
        <v>47075.479</v>
      </c>
      <c r="D36" s="25">
        <f>42526.738+180.272</f>
        <v>42707.009999999995</v>
      </c>
      <c r="E36" s="20">
        <f t="shared" si="0"/>
        <v>48.90615910329758</v>
      </c>
      <c r="F36" s="20">
        <f t="shared" si="1"/>
        <v>90.72028773196338</v>
      </c>
    </row>
    <row r="37" spans="1:6" s="3" customFormat="1" ht="15">
      <c r="A37" s="12" t="s">
        <v>1</v>
      </c>
      <c r="B37" s="11">
        <v>40460.715</v>
      </c>
      <c r="C37" s="11">
        <v>21766.973</v>
      </c>
      <c r="D37" s="11">
        <v>21114.074</v>
      </c>
      <c r="E37" s="20">
        <f aca="true" t="shared" si="2" ref="E37:E68">SUM(D37)/B37*100</f>
        <v>52.184134660002925</v>
      </c>
      <c r="F37" s="20">
        <f>SUM(D37)/C37*100</f>
        <v>97.00050622564744</v>
      </c>
    </row>
    <row r="38" spans="1:6" s="3" customFormat="1" ht="15">
      <c r="A38" s="12" t="s">
        <v>27</v>
      </c>
      <c r="B38" s="11">
        <v>8901.357</v>
      </c>
      <c r="C38" s="11">
        <v>4824.604</v>
      </c>
      <c r="D38" s="11">
        <v>4670.175</v>
      </c>
      <c r="E38" s="20">
        <f t="shared" si="2"/>
        <v>52.465876832038084</v>
      </c>
      <c r="F38" s="20">
        <f t="shared" si="1"/>
        <v>96.79913626071695</v>
      </c>
    </row>
    <row r="39" spans="1:6" s="3" customFormat="1" ht="15">
      <c r="A39" s="12" t="s">
        <v>29</v>
      </c>
      <c r="B39" s="11">
        <v>6464.382</v>
      </c>
      <c r="C39" s="11">
        <v>3128.222</v>
      </c>
      <c r="D39" s="11">
        <v>2992.076</v>
      </c>
      <c r="E39" s="20">
        <f t="shared" si="2"/>
        <v>46.285569138704986</v>
      </c>
      <c r="F39" s="20">
        <f t="shared" si="1"/>
        <v>95.64781527653727</v>
      </c>
    </row>
    <row r="40" spans="1:6" s="3" customFormat="1" ht="15">
      <c r="A40" s="12" t="s">
        <v>13</v>
      </c>
      <c r="B40" s="11">
        <f>SUM(B36)-B37-B38-B39</f>
        <v>31497.945999999996</v>
      </c>
      <c r="C40" s="11">
        <f>SUM(C36)-C37-C38-C39</f>
        <v>17355.679999999997</v>
      </c>
      <c r="D40" s="11">
        <f>SUM(D36)-D37-D38-D39</f>
        <v>13930.684999999994</v>
      </c>
      <c r="E40" s="20">
        <f t="shared" si="2"/>
        <v>44.227280724908205</v>
      </c>
      <c r="F40" s="20">
        <f t="shared" si="1"/>
        <v>80.26585532805397</v>
      </c>
    </row>
    <row r="41" spans="1:6" s="3" customFormat="1" ht="15">
      <c r="A41" s="30" t="s">
        <v>14</v>
      </c>
      <c r="B41" s="25">
        <v>9622.168</v>
      </c>
      <c r="C41" s="25">
        <f>2367.91+4120.994</f>
        <v>6488.9039999999995</v>
      </c>
      <c r="D41" s="25">
        <v>2007.448</v>
      </c>
      <c r="E41" s="20">
        <f t="shared" si="2"/>
        <v>20.862741120296384</v>
      </c>
      <c r="F41" s="20">
        <f t="shared" si="1"/>
        <v>30.936626585938093</v>
      </c>
    </row>
    <row r="42" spans="1:6" s="2" customFormat="1" ht="14.25">
      <c r="A42" s="17" t="s">
        <v>8</v>
      </c>
      <c r="B42" s="18">
        <f>B43+B48</f>
        <v>54881.755</v>
      </c>
      <c r="C42" s="18">
        <f>C43+C48</f>
        <v>29579.85</v>
      </c>
      <c r="D42" s="18">
        <f>D43+D48</f>
        <v>24058.044</v>
      </c>
      <c r="E42" s="19">
        <f t="shared" si="2"/>
        <v>43.83614190180325</v>
      </c>
      <c r="F42" s="19">
        <f t="shared" si="1"/>
        <v>81.33254225427108</v>
      </c>
    </row>
    <row r="43" spans="1:6" s="14" customFormat="1" ht="15">
      <c r="A43" s="30" t="s">
        <v>31</v>
      </c>
      <c r="B43" s="25">
        <v>51249.062</v>
      </c>
      <c r="C43" s="25">
        <v>26001.157</v>
      </c>
      <c r="D43" s="25">
        <v>22926.574</v>
      </c>
      <c r="E43" s="20">
        <f t="shared" si="2"/>
        <v>44.7355973071273</v>
      </c>
      <c r="F43" s="20">
        <f t="shared" si="1"/>
        <v>88.1752069725205</v>
      </c>
    </row>
    <row r="44" spans="1:6" s="3" customFormat="1" ht="15">
      <c r="A44" s="12" t="s">
        <v>1</v>
      </c>
      <c r="B44" s="11">
        <v>24685.189</v>
      </c>
      <c r="C44" s="11">
        <v>11850.757</v>
      </c>
      <c r="D44" s="11">
        <v>11285.136</v>
      </c>
      <c r="E44" s="20">
        <f t="shared" si="2"/>
        <v>45.716222792541714</v>
      </c>
      <c r="F44" s="20">
        <f>SUM(D44)/C44*100</f>
        <v>95.22713190389442</v>
      </c>
    </row>
    <row r="45" spans="1:6" s="3" customFormat="1" ht="15">
      <c r="A45" s="12" t="s">
        <v>27</v>
      </c>
      <c r="B45" s="11">
        <v>5430.741</v>
      </c>
      <c r="C45" s="11">
        <v>2609.511</v>
      </c>
      <c r="D45" s="11">
        <v>2476.379</v>
      </c>
      <c r="E45" s="20">
        <f t="shared" si="2"/>
        <v>45.59928378097943</v>
      </c>
      <c r="F45" s="20">
        <f t="shared" si="1"/>
        <v>94.89820123387102</v>
      </c>
    </row>
    <row r="46" spans="1:6" s="3" customFormat="1" ht="15">
      <c r="A46" s="12" t="s">
        <v>29</v>
      </c>
      <c r="B46" s="11">
        <v>4194.121</v>
      </c>
      <c r="C46" s="11">
        <v>1949.844</v>
      </c>
      <c r="D46" s="11">
        <f>1761.172+2.426</f>
        <v>1763.598</v>
      </c>
      <c r="E46" s="20">
        <f t="shared" si="2"/>
        <v>42.04928756228063</v>
      </c>
      <c r="F46" s="20">
        <f t="shared" si="1"/>
        <v>90.44815892963744</v>
      </c>
    </row>
    <row r="47" spans="1:6" s="3" customFormat="1" ht="15">
      <c r="A47" s="12" t="s">
        <v>13</v>
      </c>
      <c r="B47" s="11">
        <f>SUM(B43)-B44-B45-B46</f>
        <v>16939.011</v>
      </c>
      <c r="C47" s="11">
        <f>SUM(C43)-C44-C45-C46</f>
        <v>9591.044999999998</v>
      </c>
      <c r="D47" s="11">
        <f>SUM(D43)-D44-D45-D46</f>
        <v>7401.461000000001</v>
      </c>
      <c r="E47" s="20">
        <f t="shared" si="2"/>
        <v>43.694764706156704</v>
      </c>
      <c r="F47" s="20">
        <f t="shared" si="1"/>
        <v>77.17053772555548</v>
      </c>
    </row>
    <row r="48" spans="1:6" s="3" customFormat="1" ht="15">
      <c r="A48" s="30" t="s">
        <v>14</v>
      </c>
      <c r="B48" s="25">
        <v>3632.693</v>
      </c>
      <c r="C48" s="25">
        <f>1758.148+1820.545</f>
        <v>3578.693</v>
      </c>
      <c r="D48" s="25">
        <v>1131.47</v>
      </c>
      <c r="E48" s="20">
        <f t="shared" si="2"/>
        <v>31.146865424631258</v>
      </c>
      <c r="F48" s="20">
        <f t="shared" si="1"/>
        <v>31.616850062299278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42173.049</v>
      </c>
      <c r="D49" s="18">
        <f>D50+D55</f>
        <v>37510.617</v>
      </c>
      <c r="E49" s="19">
        <f t="shared" si="2"/>
        <v>41.417070994493535</v>
      </c>
      <c r="F49" s="19">
        <f t="shared" si="1"/>
        <v>88.94452236545666</v>
      </c>
    </row>
    <row r="50" spans="1:6" s="3" customFormat="1" ht="15">
      <c r="A50" s="30" t="s">
        <v>31</v>
      </c>
      <c r="B50" s="25">
        <v>82568.01</v>
      </c>
      <c r="C50" s="25">
        <v>39040.349</v>
      </c>
      <c r="D50" s="25">
        <v>36951.877</v>
      </c>
      <c r="E50" s="20">
        <f t="shared" si="2"/>
        <v>44.753260978434625</v>
      </c>
      <c r="F50" s="20">
        <f t="shared" si="1"/>
        <v>94.65047815018252</v>
      </c>
    </row>
    <row r="51" spans="1:6" s="3" customFormat="1" ht="15">
      <c r="A51" s="12" t="s">
        <v>1</v>
      </c>
      <c r="B51" s="11">
        <v>50916.2</v>
      </c>
      <c r="C51" s="11">
        <v>24072.187</v>
      </c>
      <c r="D51" s="11">
        <v>23646.435</v>
      </c>
      <c r="E51" s="20">
        <f t="shared" si="2"/>
        <v>46.441869188981116</v>
      </c>
      <c r="F51" s="20">
        <f>SUM(D51)/C51*100</f>
        <v>98.23135305487615</v>
      </c>
    </row>
    <row r="52" spans="1:6" s="3" customFormat="1" ht="15">
      <c r="A52" s="12" t="s">
        <v>27</v>
      </c>
      <c r="B52" s="11">
        <v>11270.743</v>
      </c>
      <c r="C52" s="11">
        <v>5326.242</v>
      </c>
      <c r="D52" s="11">
        <v>5186.717</v>
      </c>
      <c r="E52" s="20">
        <f t="shared" si="2"/>
        <v>46.019299703666384</v>
      </c>
      <c r="F52" s="20">
        <f t="shared" si="1"/>
        <v>97.38042319519089</v>
      </c>
    </row>
    <row r="53" spans="1:6" s="3" customFormat="1" ht="15">
      <c r="A53" s="12" t="s">
        <v>29</v>
      </c>
      <c r="B53" s="11">
        <v>4798.274</v>
      </c>
      <c r="C53" s="11">
        <v>2185.256</v>
      </c>
      <c r="D53" s="11">
        <v>2093.779</v>
      </c>
      <c r="E53" s="20">
        <f t="shared" si="2"/>
        <v>43.63608664282198</v>
      </c>
      <c r="F53" s="20">
        <f t="shared" si="1"/>
        <v>95.8139000647979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7456.664000000001</v>
      </c>
      <c r="D54" s="11">
        <f>SUM(D50)-D51-D52-D53</f>
        <v>6024.946</v>
      </c>
      <c r="E54" s="20">
        <f t="shared" si="2"/>
        <v>38.66409571121173</v>
      </c>
      <c r="F54" s="20">
        <f t="shared" si="1"/>
        <v>80.79948352239018</v>
      </c>
    </row>
    <row r="55" spans="1:6" s="3" customFormat="1" ht="15">
      <c r="A55" s="30" t="s">
        <v>14</v>
      </c>
      <c r="B55" s="25">
        <v>8000</v>
      </c>
      <c r="C55" s="25">
        <f>1884.933+1247.767</f>
        <v>3132.7</v>
      </c>
      <c r="D55" s="25">
        <v>558.74</v>
      </c>
      <c r="E55" s="20">
        <f t="shared" si="2"/>
        <v>6.98425</v>
      </c>
      <c r="F55" s="20">
        <f t="shared" si="1"/>
        <v>17.83573275449293</v>
      </c>
    </row>
    <row r="56" spans="1:6" s="3" customFormat="1" ht="14.25" customHeight="1">
      <c r="A56" s="21" t="s">
        <v>9</v>
      </c>
      <c r="B56" s="22">
        <f>B57+B60</f>
        <v>306187.88399999996</v>
      </c>
      <c r="C56" s="22">
        <f>C57+C60</f>
        <v>96819.912</v>
      </c>
      <c r="D56" s="22">
        <f>D57+D60</f>
        <v>65774.872</v>
      </c>
      <c r="E56" s="19">
        <f t="shared" si="2"/>
        <v>21.481866343215597</v>
      </c>
      <c r="F56" s="19">
        <f t="shared" si="1"/>
        <v>67.93527347969497</v>
      </c>
    </row>
    <row r="57" spans="1:6" s="3" customFormat="1" ht="14.25" customHeight="1">
      <c r="A57" s="30" t="s">
        <v>31</v>
      </c>
      <c r="B57" s="25">
        <v>179378.042</v>
      </c>
      <c r="C57" s="25">
        <v>78072.11</v>
      </c>
      <c r="D57" s="25">
        <f>55239.295+472.864</f>
        <v>55712.159</v>
      </c>
      <c r="E57" s="20">
        <f t="shared" si="2"/>
        <v>31.058516627135447</v>
      </c>
      <c r="F57" s="20">
        <f t="shared" si="1"/>
        <v>71.35987358353707</v>
      </c>
    </row>
    <row r="58" spans="1:6" s="3" customFormat="1" ht="15">
      <c r="A58" s="12" t="s">
        <v>29</v>
      </c>
      <c r="B58" s="11">
        <v>20033.7</v>
      </c>
      <c r="C58" s="11">
        <v>10442.234</v>
      </c>
      <c r="D58" s="11">
        <f>9856.172+3.845</f>
        <v>9860.017</v>
      </c>
      <c r="E58" s="20">
        <f t="shared" si="2"/>
        <v>49.217154095349336</v>
      </c>
      <c r="F58" s="20">
        <f>SUM(D58)/C58*100</f>
        <v>94.42440190480312</v>
      </c>
    </row>
    <row r="59" spans="1:6" s="3" customFormat="1" ht="15">
      <c r="A59" s="12" t="s">
        <v>13</v>
      </c>
      <c r="B59" s="11">
        <f>SUM(B57)-B58</f>
        <v>159344.34199999998</v>
      </c>
      <c r="C59" s="11">
        <f>SUM(C57)-C58</f>
        <v>67629.876</v>
      </c>
      <c r="D59" s="11">
        <f>SUM(D57)-D58</f>
        <v>45852.142</v>
      </c>
      <c r="E59" s="20">
        <f t="shared" si="2"/>
        <v>28.775506820317474</v>
      </c>
      <c r="F59" s="20">
        <f t="shared" si="1"/>
        <v>67.79864863274331</v>
      </c>
    </row>
    <row r="60" spans="1:6" s="3" customFormat="1" ht="15">
      <c r="A60" s="30" t="s">
        <v>14</v>
      </c>
      <c r="B60" s="25">
        <f>2465+124344.842</f>
        <v>126809.842</v>
      </c>
      <c r="C60" s="25">
        <f>2465+850+35+8938.286+6459.516</f>
        <v>18747.802</v>
      </c>
      <c r="D60" s="25">
        <v>10062.713</v>
      </c>
      <c r="E60" s="20">
        <f t="shared" si="2"/>
        <v>7.935277610392418</v>
      </c>
      <c r="F60" s="20">
        <f t="shared" si="1"/>
        <v>53.67409470187492</v>
      </c>
    </row>
    <row r="61" spans="1:6" s="3" customFormat="1" ht="17.25" customHeight="1">
      <c r="A61" s="21" t="s">
        <v>21</v>
      </c>
      <c r="B61" s="22">
        <f>SUM(B62)</f>
        <v>97322.069</v>
      </c>
      <c r="C61" s="22">
        <f>SUM(C62)</f>
        <v>16430.835</v>
      </c>
      <c r="D61" s="22">
        <f>SUM(D62)</f>
        <v>7308.522</v>
      </c>
      <c r="E61" s="20">
        <f t="shared" si="2"/>
        <v>7.509624564188005</v>
      </c>
      <c r="F61" s="20">
        <f t="shared" si="1"/>
        <v>44.48052700912644</v>
      </c>
    </row>
    <row r="62" spans="1:6" s="3" customFormat="1" ht="15">
      <c r="A62" s="30" t="s">
        <v>14</v>
      </c>
      <c r="B62" s="25">
        <v>97322.069</v>
      </c>
      <c r="C62" s="25">
        <f>6846.272+9584.563</f>
        <v>16430.835</v>
      </c>
      <c r="D62" s="25">
        <v>7308.522</v>
      </c>
      <c r="E62" s="20">
        <f t="shared" si="2"/>
        <v>7.509624564188005</v>
      </c>
      <c r="F62" s="20">
        <f t="shared" si="1"/>
        <v>44.48052700912644</v>
      </c>
    </row>
    <row r="63" spans="1:6" s="3" customFormat="1" ht="15" customHeight="1">
      <c r="A63" s="23" t="s">
        <v>16</v>
      </c>
      <c r="B63" s="22">
        <f>SUM(B64:B65)</f>
        <v>192940.72999999998</v>
      </c>
      <c r="C63" s="22">
        <f>SUM(C64:C65)</f>
        <v>75416.266</v>
      </c>
      <c r="D63" s="22">
        <f>1832.812+718.781</f>
        <v>2551.593</v>
      </c>
      <c r="E63" s="19">
        <f t="shared" si="2"/>
        <v>1.3224750419468196</v>
      </c>
      <c r="F63" s="19">
        <f t="shared" si="1"/>
        <v>3.383345709531681</v>
      </c>
    </row>
    <row r="64" spans="1:6" s="3" customFormat="1" ht="15">
      <c r="A64" s="30" t="s">
        <v>13</v>
      </c>
      <c r="B64" s="25">
        <v>82070.117</v>
      </c>
      <c r="C64" s="25">
        <v>47146.367</v>
      </c>
      <c r="D64" s="25">
        <v>40272.201</v>
      </c>
      <c r="E64" s="20">
        <f t="shared" si="2"/>
        <v>49.070480793880186</v>
      </c>
      <c r="F64" s="20">
        <f t="shared" si="1"/>
        <v>85.41952129630688</v>
      </c>
    </row>
    <row r="65" spans="1:6" s="3" customFormat="1" ht="15">
      <c r="A65" s="30" t="s">
        <v>14</v>
      </c>
      <c r="B65" s="25">
        <v>110870.613</v>
      </c>
      <c r="C65" s="25">
        <f>12769.899+15500</f>
        <v>28269.898999999998</v>
      </c>
      <c r="D65" s="25">
        <v>14564.799</v>
      </c>
      <c r="E65" s="20">
        <f t="shared" si="2"/>
        <v>13.13675337936483</v>
      </c>
      <c r="F65" s="20">
        <f t="shared" si="1"/>
        <v>51.520520112222556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1113</v>
      </c>
      <c r="D66" s="22">
        <f>SUM(D67:D67)</f>
        <v>1112.871</v>
      </c>
      <c r="E66" s="19">
        <f t="shared" si="2"/>
        <v>16.128565217391305</v>
      </c>
      <c r="F66" s="19">
        <f t="shared" si="1"/>
        <v>99.98840970350406</v>
      </c>
    </row>
    <row r="67" spans="1:6" s="3" customFormat="1" ht="15">
      <c r="A67" s="30" t="s">
        <v>14</v>
      </c>
      <c r="B67" s="25">
        <v>6900</v>
      </c>
      <c r="C67" s="25">
        <f>300+813</f>
        <v>1113</v>
      </c>
      <c r="D67" s="25">
        <v>1112.871</v>
      </c>
      <c r="E67" s="20">
        <f t="shared" si="2"/>
        <v>16.128565217391305</v>
      </c>
      <c r="F67" s="20">
        <f t="shared" si="1"/>
        <v>99.98840970350406</v>
      </c>
    </row>
    <row r="68" spans="1:6" s="3" customFormat="1" ht="42.75">
      <c r="A68" s="23" t="s">
        <v>10</v>
      </c>
      <c r="B68" s="18">
        <f>SUM(B69)+B72</f>
        <v>9526</v>
      </c>
      <c r="C68" s="18">
        <f>SUM(C69)+C72</f>
        <v>3204.276</v>
      </c>
      <c r="D68" s="18">
        <f>SUM(D69)+D72</f>
        <v>3046.751</v>
      </c>
      <c r="E68" s="19">
        <f t="shared" si="2"/>
        <v>31.9835292882637</v>
      </c>
      <c r="F68" s="19">
        <f t="shared" si="1"/>
        <v>95.08391287142557</v>
      </c>
    </row>
    <row r="69" spans="1:6" s="3" customFormat="1" ht="15">
      <c r="A69" s="30" t="s">
        <v>31</v>
      </c>
      <c r="B69" s="25">
        <v>8800.034</v>
      </c>
      <c r="C69" s="25">
        <v>3204.276</v>
      </c>
      <c r="D69" s="25">
        <v>3046.751</v>
      </c>
      <c r="E69" s="20">
        <f aca="true" t="shared" si="3" ref="E69:E90">SUM(D69)/B69*100</f>
        <v>34.62203668758553</v>
      </c>
      <c r="F69" s="20">
        <f t="shared" si="1"/>
        <v>95.08391287142557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1.424</v>
      </c>
      <c r="E70" s="20">
        <f t="shared" si="3"/>
        <v>9.521262369617546</v>
      </c>
      <c r="F70" s="20">
        <f t="shared" si="1"/>
        <v>12.782764811490125</v>
      </c>
    </row>
    <row r="71" spans="1:6" s="3" customFormat="1" ht="15">
      <c r="A71" s="12" t="s">
        <v>13</v>
      </c>
      <c r="B71" s="11">
        <f>SUM(B69)-B70</f>
        <v>8785.078</v>
      </c>
      <c r="C71" s="11">
        <f>SUM(C69)-C70</f>
        <v>3193.136</v>
      </c>
      <c r="D71" s="11">
        <f>SUM(D69)-D70</f>
        <v>3045.327</v>
      </c>
      <c r="E71" s="19">
        <f t="shared" si="3"/>
        <v>34.66476905498164</v>
      </c>
      <c r="F71" s="19">
        <f t="shared" si="1"/>
        <v>95.37103963000636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>
        <f t="shared" si="3"/>
        <v>0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1670</v>
      </c>
      <c r="C73" s="18"/>
      <c r="D73" s="18"/>
      <c r="E73" s="20">
        <f t="shared" si="3"/>
        <v>0</v>
      </c>
      <c r="F73" s="20" t="e">
        <f t="shared" si="1"/>
        <v>#DIV/0!</v>
      </c>
    </row>
    <row r="74" spans="1:6" s="2" customFormat="1" ht="15">
      <c r="A74" s="23" t="s">
        <v>12</v>
      </c>
      <c r="B74" s="18">
        <v>37806.6</v>
      </c>
      <c r="C74" s="18">
        <v>18903.6</v>
      </c>
      <c r="D74" s="18">
        <v>17853.4</v>
      </c>
      <c r="E74" s="20">
        <f t="shared" si="3"/>
        <v>47.22297165045257</v>
      </c>
      <c r="F74" s="20">
        <f aca="true" t="shared" si="4" ref="F74:F90">SUM(D74)/C74*100</f>
        <v>94.44444444444446</v>
      </c>
    </row>
    <row r="75" spans="1:6" s="2" customFormat="1" ht="15">
      <c r="A75" s="17" t="s">
        <v>17</v>
      </c>
      <c r="B75" s="18">
        <f>SUM(B76)+B80</f>
        <v>16607.913</v>
      </c>
      <c r="C75" s="18">
        <f>SUM(C76)+C80</f>
        <v>10938.661</v>
      </c>
      <c r="D75" s="18">
        <f>SUM(D76)+D80</f>
        <v>1414.6509999999998</v>
      </c>
      <c r="E75" s="20">
        <f t="shared" si="3"/>
        <v>8.517933589849608</v>
      </c>
      <c r="F75" s="20">
        <f t="shared" si="4"/>
        <v>12.932579225190358</v>
      </c>
    </row>
    <row r="76" spans="1:6" s="2" customFormat="1" ht="15">
      <c r="A76" s="30" t="s">
        <v>31</v>
      </c>
      <c r="B76" s="25">
        <f>11077.904+196.033</f>
        <v>11273.937</v>
      </c>
      <c r="C76" s="25">
        <v>8484.475</v>
      </c>
      <c r="D76" s="25">
        <f>1019.382+395.269</f>
        <v>1414.6509999999998</v>
      </c>
      <c r="E76" s="19">
        <f t="shared" si="3"/>
        <v>12.547976807037328</v>
      </c>
      <c r="F76" s="20">
        <f t="shared" si="4"/>
        <v>16.673406427622215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11273.937</v>
      </c>
      <c r="C79" s="11">
        <f>SUM(C76)-C77-C78</f>
        <v>8484.475</v>
      </c>
      <c r="D79" s="11">
        <f>SUM(D76)-D77-D78</f>
        <v>1414.6509999999998</v>
      </c>
      <c r="E79" s="20">
        <f t="shared" si="3"/>
        <v>12.547976807037328</v>
      </c>
      <c r="F79" s="20">
        <f>SUM(D79)/C79*100</f>
        <v>16.673406427622215</v>
      </c>
    </row>
    <row r="80" spans="1:6" s="3" customFormat="1" ht="15">
      <c r="A80" s="30" t="s">
        <v>14</v>
      </c>
      <c r="B80" s="25">
        <v>5333.976</v>
      </c>
      <c r="C80" s="25">
        <v>2454.186</v>
      </c>
      <c r="D80" s="25"/>
      <c r="E80" s="20">
        <f t="shared" si="3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15000+775.5-705.5</f>
        <v>15070</v>
      </c>
      <c r="C81" s="18">
        <f>15000+39.6</f>
        <v>15039.6</v>
      </c>
      <c r="D81" s="18">
        <v>8000</v>
      </c>
      <c r="E81" s="20">
        <f t="shared" si="3"/>
        <v>53.085600530856006</v>
      </c>
      <c r="F81" s="20">
        <f t="shared" si="4"/>
        <v>53.192904066597514</v>
      </c>
    </row>
    <row r="82" spans="1:12" s="9" customFormat="1" ht="15.75">
      <c r="A82" s="27" t="s">
        <v>25</v>
      </c>
      <c r="B82" s="28">
        <f>B5+B14+B23+B35+B42+B49+B56+B61+B63+B66+B68+B73+B74+B75+B81</f>
        <v>2746444.732</v>
      </c>
      <c r="C82" s="28">
        <f>C5+C14+C23+C35+C42+C49+C56+C61+C63+C66+C68+C73+C74+C75+C81</f>
        <v>1348879.4800000004</v>
      </c>
      <c r="D82" s="28">
        <f>D5+D14+D23+D35+D42+D49+D56+D61+D63+D66+D68+D73+D74+D75+D81</f>
        <v>1143552.9050000003</v>
      </c>
      <c r="E82" s="20">
        <f t="shared" si="3"/>
        <v>41.63757208277222</v>
      </c>
      <c r="F82" s="20">
        <f t="shared" si="4"/>
        <v>84.77798957991412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2304746.08</v>
      </c>
      <c r="C83" s="28">
        <f>C6+C15+C24+C36+C43+C50+C57+C64+C69+C76+C74</f>
        <v>1233194.1560000004</v>
      </c>
      <c r="D83" s="28">
        <f>D6+D15+D24+D36+D43+D50+D57+D64+D69+D76+D74</f>
        <v>1143357.692</v>
      </c>
      <c r="E83" s="20">
        <f t="shared" si="3"/>
        <v>49.60883552083099</v>
      </c>
      <c r="F83" s="20">
        <f t="shared" si="4"/>
        <v>92.7151403075575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754676.7779999999</v>
      </c>
      <c r="C84" s="22">
        <f t="shared" si="5"/>
        <v>408975.50299999997</v>
      </c>
      <c r="D84" s="22">
        <f t="shared" si="5"/>
        <v>395453.965</v>
      </c>
      <c r="E84" s="19">
        <f t="shared" si="3"/>
        <v>52.40044168948843</v>
      </c>
      <c r="F84" s="19">
        <f t="shared" si="4"/>
        <v>96.6938024647408</v>
      </c>
    </row>
    <row r="85" spans="1:6" ht="15">
      <c r="A85" s="29" t="s">
        <v>28</v>
      </c>
      <c r="B85" s="22">
        <f t="shared" si="5"/>
        <v>166063.64299999998</v>
      </c>
      <c r="C85" s="22">
        <f t="shared" si="5"/>
        <v>90286.49</v>
      </c>
      <c r="D85" s="22">
        <f t="shared" si="5"/>
        <v>87103.79100000001</v>
      </c>
      <c r="E85" s="19">
        <f t="shared" si="3"/>
        <v>52.45205357803696</v>
      </c>
      <c r="F85" s="19">
        <f t="shared" si="4"/>
        <v>96.47488898948227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85685.43899999998</v>
      </c>
      <c r="D86" s="22">
        <f>D70+D11+D20+D29+D39+D46+D53+D58</f>
        <v>76556.51799999998</v>
      </c>
      <c r="E86" s="19">
        <f t="shared" si="3"/>
        <v>46.20720739436822</v>
      </c>
      <c r="F86" s="19">
        <f>SUM(D86)/C86*100</f>
        <v>89.34600661846407</v>
      </c>
    </row>
    <row r="87" spans="1:6" ht="15">
      <c r="A87" s="29" t="s">
        <v>13</v>
      </c>
      <c r="B87" s="22">
        <f>B83-B84-B85-B86</f>
        <v>1218324.7570000002</v>
      </c>
      <c r="C87" s="22">
        <f>C83-C84-C85-C86</f>
        <v>648246.7240000004</v>
      </c>
      <c r="D87" s="22">
        <f>D83-D84-D85-D86</f>
        <v>584243.4180000001</v>
      </c>
      <c r="E87" s="19">
        <f t="shared" si="3"/>
        <v>47.9546536868084</v>
      </c>
      <c r="F87" s="19">
        <f t="shared" si="4"/>
        <v>90.12670583121985</v>
      </c>
    </row>
    <row r="88" spans="1:6" ht="20.25" customHeight="1">
      <c r="A88" s="17" t="s">
        <v>14</v>
      </c>
      <c r="B88" s="18">
        <f>B13+B22+B41+B34+B55+B60+B62+B65+B67+B72+B80+B48</f>
        <v>424958.65200000006</v>
      </c>
      <c r="C88" s="18">
        <f>C13+C22+C41+C34+C55+C60+C62+C65+C67+C72+C80+C48</f>
        <v>100645.724</v>
      </c>
      <c r="D88" s="18">
        <f>D13+D22+D41+D34+D55+D60+D62+D65+D67+D72+D80+D48</f>
        <v>44480.62</v>
      </c>
      <c r="E88" s="19">
        <f t="shared" si="3"/>
        <v>10.46704656809764</v>
      </c>
      <c r="F88" s="19">
        <f t="shared" si="4"/>
        <v>44.19524072378873</v>
      </c>
    </row>
    <row r="89" spans="1:6" ht="15">
      <c r="A89" s="17" t="s">
        <v>24</v>
      </c>
      <c r="B89" s="18">
        <f>SUM(B81)</f>
        <v>15070</v>
      </c>
      <c r="C89" s="18">
        <f>SUM(C81)</f>
        <v>15039.6</v>
      </c>
      <c r="D89" s="18">
        <f>SUM(D81)</f>
        <v>8000</v>
      </c>
      <c r="E89" s="19">
        <f t="shared" si="3"/>
        <v>53.085600530856006</v>
      </c>
      <c r="F89" s="19">
        <f t="shared" si="4"/>
        <v>53.192904066597514</v>
      </c>
    </row>
    <row r="90" spans="1:6" ht="15">
      <c r="A90" s="17" t="s">
        <v>30</v>
      </c>
      <c r="B90" s="18">
        <f>SUM(B73)</f>
        <v>1670</v>
      </c>
      <c r="C90" s="18">
        <f>SUM(C73)</f>
        <v>0</v>
      </c>
      <c r="D90" s="18"/>
      <c r="E90" s="19">
        <f t="shared" si="3"/>
        <v>0</v>
      </c>
      <c r="F90" s="19" t="e">
        <f t="shared" si="4"/>
        <v>#DIV/0!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70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71</v>
      </c>
      <c r="D3" s="71" t="s">
        <v>74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724645.208</v>
      </c>
      <c r="C5" s="18">
        <f>C6+C13</f>
        <v>403779.042</v>
      </c>
      <c r="D5" s="18">
        <f>D6+D13</f>
        <v>370466.532</v>
      </c>
      <c r="E5" s="19">
        <f aca="true" t="shared" si="0" ref="E5:E68">SUM(D5)/B5*100</f>
        <v>51.12385039052104</v>
      </c>
      <c r="F5" s="19">
        <f>SUM(D5)/C5*100</f>
        <v>91.74981697044097</v>
      </c>
    </row>
    <row r="6" spans="1:6" s="37" customFormat="1" ht="15">
      <c r="A6" s="36" t="s">
        <v>34</v>
      </c>
      <c r="B6" s="25">
        <v>687920.419</v>
      </c>
      <c r="C6" s="25">
        <v>390767.914</v>
      </c>
      <c r="D6" s="25">
        <v>364204.335</v>
      </c>
      <c r="E6" s="20">
        <f t="shared" si="0"/>
        <v>52.94280049564861</v>
      </c>
      <c r="F6" s="20">
        <f>SUM(D6)/C6*100</f>
        <v>93.20221081406392</v>
      </c>
    </row>
    <row r="7" spans="1:6" s="37" customFormat="1" ht="15">
      <c r="A7" s="38" t="s">
        <v>35</v>
      </c>
      <c r="B7" s="11">
        <v>401715.273</v>
      </c>
      <c r="C7" s="11">
        <v>237089.595</v>
      </c>
      <c r="D7" s="11">
        <f>228080.047+31.971</f>
        <v>228112.01799999998</v>
      </c>
      <c r="E7" s="20">
        <f t="shared" si="0"/>
        <v>56.784502191431486</v>
      </c>
      <c r="F7" s="20">
        <f aca="true" t="shared" si="1" ref="F7:F73">SUM(D7)/C7*100</f>
        <v>96.21342429641419</v>
      </c>
    </row>
    <row r="8" spans="1:6" s="37" customFormat="1" ht="15">
      <c r="A8" s="38" t="s">
        <v>36</v>
      </c>
      <c r="B8" s="11">
        <v>88410.024</v>
      </c>
      <c r="C8" s="11">
        <v>52459.373</v>
      </c>
      <c r="D8" s="11">
        <v>50569.457</v>
      </c>
      <c r="E8" s="20">
        <f t="shared" si="0"/>
        <v>57.198782120000324</v>
      </c>
      <c r="F8" s="20">
        <f t="shared" si="1"/>
        <v>96.39737211498888</v>
      </c>
    </row>
    <row r="9" spans="1:6" s="37" customFormat="1" ht="15">
      <c r="A9" s="38" t="s">
        <v>37</v>
      </c>
      <c r="B9" s="11">
        <v>153.271</v>
      </c>
      <c r="C9" s="11">
        <v>19.152</v>
      </c>
      <c r="D9" s="11">
        <v>14.203</v>
      </c>
      <c r="E9" s="20">
        <f t="shared" si="0"/>
        <v>9.26659315852314</v>
      </c>
      <c r="F9" s="20"/>
    </row>
    <row r="10" spans="1:6" s="37" customFormat="1" ht="15">
      <c r="A10" s="38" t="s">
        <v>38</v>
      </c>
      <c r="B10" s="11">
        <v>47825.907</v>
      </c>
      <c r="C10" s="11">
        <v>22088.205</v>
      </c>
      <c r="D10" s="11">
        <f>19541.705+36.83</f>
        <v>19578.535000000003</v>
      </c>
      <c r="E10" s="20">
        <f t="shared" si="0"/>
        <v>40.937090853290044</v>
      </c>
      <c r="F10" s="20">
        <f t="shared" si="1"/>
        <v>88.63796311198669</v>
      </c>
    </row>
    <row r="11" spans="1:6" s="37" customFormat="1" ht="30">
      <c r="A11" s="38" t="s">
        <v>39</v>
      </c>
      <c r="B11" s="11">
        <v>92734.871</v>
      </c>
      <c r="C11" s="11">
        <v>47490.21</v>
      </c>
      <c r="D11" s="11">
        <f>43313.966+0.416</f>
        <v>43314.382</v>
      </c>
      <c r="E11" s="20">
        <f t="shared" si="0"/>
        <v>46.707761096686056</v>
      </c>
      <c r="F11" s="20">
        <f t="shared" si="1"/>
        <v>91.20697086831159</v>
      </c>
    </row>
    <row r="12" spans="1:6" s="37" customFormat="1" ht="15">
      <c r="A12" s="38" t="s">
        <v>40</v>
      </c>
      <c r="B12" s="11">
        <f>SUM(B6)-B7-B8-B9-B10-B11</f>
        <v>57081.07299999999</v>
      </c>
      <c r="C12" s="11">
        <f>SUM(C6)-C7-C8-C9-C10-C11</f>
        <v>31621.378999999994</v>
      </c>
      <c r="D12" s="11">
        <f>SUM(D6)-D7-D8-D9-D10-D11</f>
        <v>22615.74000000005</v>
      </c>
      <c r="E12" s="20">
        <f t="shared" si="0"/>
        <v>39.62038345004491</v>
      </c>
      <c r="F12" s="20">
        <f t="shared" si="1"/>
        <v>71.52041028950715</v>
      </c>
    </row>
    <row r="13" spans="1:6" s="37" customFormat="1" ht="15">
      <c r="A13" s="36" t="s">
        <v>41</v>
      </c>
      <c r="B13" s="25">
        <v>36724.789</v>
      </c>
      <c r="C13" s="25">
        <f>7.5+10201.564+2802.064</f>
        <v>13011.128</v>
      </c>
      <c r="D13" s="25">
        <v>6262.197</v>
      </c>
      <c r="E13" s="20">
        <f t="shared" si="0"/>
        <v>17.051689527746504</v>
      </c>
      <c r="F13" s="20">
        <f t="shared" si="1"/>
        <v>48.12954726139041</v>
      </c>
    </row>
    <row r="14" spans="1:6" s="35" customFormat="1" ht="14.25">
      <c r="A14" s="34" t="s">
        <v>42</v>
      </c>
      <c r="B14" s="18">
        <f>B15+B22</f>
        <v>389911.61199999996</v>
      </c>
      <c r="C14" s="18">
        <f>C15+C22</f>
        <v>191432.19</v>
      </c>
      <c r="D14" s="18">
        <f>D15+D22</f>
        <v>174936.45200000002</v>
      </c>
      <c r="E14" s="19">
        <f t="shared" si="0"/>
        <v>44.86566868390676</v>
      </c>
      <c r="F14" s="19">
        <f t="shared" si="1"/>
        <v>91.38298632011681</v>
      </c>
    </row>
    <row r="15" spans="1:6" s="37" customFormat="1" ht="15">
      <c r="A15" s="36" t="s">
        <v>43</v>
      </c>
      <c r="B15" s="25">
        <f>349580.812+25271</f>
        <v>374851.812</v>
      </c>
      <c r="C15" s="25">
        <f>173753.884+12615.2</f>
        <v>186369.084</v>
      </c>
      <c r="D15" s="25">
        <f>160983.948+12615.2</f>
        <v>173599.14800000002</v>
      </c>
      <c r="E15" s="20">
        <f t="shared" si="0"/>
        <v>46.31140691938286</v>
      </c>
      <c r="F15" s="20">
        <f>SUM(D15)/C15*100</f>
        <v>93.14803951067336</v>
      </c>
    </row>
    <row r="16" spans="1:6" s="37" customFormat="1" ht="15">
      <c r="A16" s="38" t="s">
        <v>35</v>
      </c>
      <c r="B16" s="11">
        <v>221602.052</v>
      </c>
      <c r="C16" s="11">
        <v>106743.987</v>
      </c>
      <c r="D16" s="11">
        <v>104026.749</v>
      </c>
      <c r="E16" s="20">
        <f t="shared" si="0"/>
        <v>46.94304410141473</v>
      </c>
      <c r="F16" s="20">
        <f t="shared" si="1"/>
        <v>97.45443459967446</v>
      </c>
    </row>
    <row r="17" spans="1:6" s="37" customFormat="1" ht="15">
      <c r="A17" s="38" t="s">
        <v>36</v>
      </c>
      <c r="B17" s="11">
        <v>48697.18</v>
      </c>
      <c r="C17" s="11">
        <v>23441.149</v>
      </c>
      <c r="D17" s="11">
        <v>22619.6</v>
      </c>
      <c r="E17" s="20">
        <f t="shared" si="0"/>
        <v>46.449506932434275</v>
      </c>
      <c r="F17" s="20">
        <f t="shared" si="1"/>
        <v>96.49526992042922</v>
      </c>
    </row>
    <row r="18" spans="1:6" s="37" customFormat="1" ht="15">
      <c r="A18" s="38" t="s">
        <v>37</v>
      </c>
      <c r="B18" s="11">
        <v>16661.896</v>
      </c>
      <c r="C18" s="11">
        <v>9051.835</v>
      </c>
      <c r="D18" s="11">
        <v>7365.77</v>
      </c>
      <c r="E18" s="20">
        <f t="shared" si="0"/>
        <v>44.2072738900783</v>
      </c>
      <c r="F18" s="20">
        <f t="shared" si="1"/>
        <v>81.37322432412877</v>
      </c>
    </row>
    <row r="19" spans="1:6" s="37" customFormat="1" ht="15">
      <c r="A19" s="38" t="s">
        <v>38</v>
      </c>
      <c r="B19" s="11">
        <v>6745.744</v>
      </c>
      <c r="C19" s="11">
        <v>3987.459</v>
      </c>
      <c r="D19" s="11">
        <v>2752.782</v>
      </c>
      <c r="E19" s="20">
        <f t="shared" si="0"/>
        <v>40.80768555699713</v>
      </c>
      <c r="F19" s="20">
        <f t="shared" si="1"/>
        <v>69.03599510364872</v>
      </c>
    </row>
    <row r="20" spans="1:6" s="37" customFormat="1" ht="30">
      <c r="A20" s="38" t="s">
        <v>39</v>
      </c>
      <c r="B20" s="11">
        <v>36131.055</v>
      </c>
      <c r="C20" s="11">
        <v>19721.63</v>
      </c>
      <c r="D20" s="11">
        <v>15952.634</v>
      </c>
      <c r="E20" s="20">
        <f t="shared" si="0"/>
        <v>44.15214003576701</v>
      </c>
      <c r="F20" s="20">
        <f t="shared" si="1"/>
        <v>80.88902387885788</v>
      </c>
    </row>
    <row r="21" spans="1:6" s="37" customFormat="1" ht="15">
      <c r="A21" s="38" t="s">
        <v>40</v>
      </c>
      <c r="B21" s="11">
        <f>SUM(B15)-B16-B17-B18-B19-B20</f>
        <v>45013.88499999997</v>
      </c>
      <c r="C21" s="11">
        <f>SUM(C15)-C16-C17-C18-C19-C20</f>
        <v>23423.024</v>
      </c>
      <c r="D21" s="11">
        <f>SUM(D15)-D16-D17-D18-D19-D20</f>
        <v>20881.613000000027</v>
      </c>
      <c r="E21" s="20">
        <f t="shared" si="0"/>
        <v>46.38927077722805</v>
      </c>
      <c r="F21" s="20">
        <f t="shared" si="1"/>
        <v>89.14994494306127</v>
      </c>
    </row>
    <row r="22" spans="1:6" s="37" customFormat="1" ht="15">
      <c r="A22" s="36" t="s">
        <v>41</v>
      </c>
      <c r="B22" s="25">
        <f>15049.8+10</f>
        <v>15059.8</v>
      </c>
      <c r="C22" s="25">
        <f>2266.006+2797.1</f>
        <v>5063.106</v>
      </c>
      <c r="D22" s="25">
        <v>1337.304</v>
      </c>
      <c r="E22" s="20">
        <f t="shared" si="0"/>
        <v>8.87995856518679</v>
      </c>
      <c r="F22" s="20">
        <f t="shared" si="1"/>
        <v>26.412719781098797</v>
      </c>
    </row>
    <row r="23" spans="1:6" s="35" customFormat="1" ht="28.5">
      <c r="A23" s="34" t="s">
        <v>59</v>
      </c>
      <c r="B23" s="18">
        <f>B24+B34</f>
        <v>705460.383</v>
      </c>
      <c r="C23" s="18">
        <f>C24+C34</f>
        <v>390484.816</v>
      </c>
      <c r="D23" s="18">
        <f>D24+D34</f>
        <v>384804.142</v>
      </c>
      <c r="E23" s="19">
        <f t="shared" si="0"/>
        <v>54.54652752626649</v>
      </c>
      <c r="F23" s="19">
        <f t="shared" si="1"/>
        <v>98.54522537951898</v>
      </c>
    </row>
    <row r="24" spans="1:6" s="37" customFormat="1" ht="15">
      <c r="A24" s="36" t="s">
        <v>43</v>
      </c>
      <c r="B24" s="25">
        <v>701503.647</v>
      </c>
      <c r="C24" s="25">
        <v>388129.345</v>
      </c>
      <c r="D24" s="25">
        <v>384669.586</v>
      </c>
      <c r="E24" s="20">
        <f t="shared" si="0"/>
        <v>54.83500871949138</v>
      </c>
      <c r="F24" s="20">
        <f>SUM(D24)/C24*100</f>
        <v>99.10860669398755</v>
      </c>
    </row>
    <row r="25" spans="1:6" s="37" customFormat="1" ht="15">
      <c r="A25" s="38" t="s">
        <v>35</v>
      </c>
      <c r="B25" s="11">
        <f>14660.587+636.762</f>
        <v>15297.349</v>
      </c>
      <c r="C25" s="11">
        <v>7452.004</v>
      </c>
      <c r="D25" s="11">
        <v>7269.553</v>
      </c>
      <c r="E25" s="20">
        <f t="shared" si="0"/>
        <v>47.52165228105863</v>
      </c>
      <c r="F25" s="20">
        <f t="shared" si="1"/>
        <v>97.55165187780361</v>
      </c>
    </row>
    <row r="26" spans="1:6" s="37" customFormat="1" ht="15">
      <c r="A26" s="38" t="s">
        <v>36</v>
      </c>
      <c r="B26" s="11">
        <v>3353.598</v>
      </c>
      <c r="C26" s="11">
        <v>1625.611</v>
      </c>
      <c r="D26" s="11">
        <v>1581.463</v>
      </c>
      <c r="E26" s="20">
        <f t="shared" si="0"/>
        <v>47.15720250310264</v>
      </c>
      <c r="F26" s="20">
        <f t="shared" si="1"/>
        <v>97.28422113285404</v>
      </c>
    </row>
    <row r="27" spans="1:6" s="37" customFormat="1" ht="15">
      <c r="A27" s="38" t="s">
        <v>37</v>
      </c>
      <c r="B27" s="11">
        <v>72.57</v>
      </c>
      <c r="C27" s="11">
        <v>39.6</v>
      </c>
      <c r="D27" s="11">
        <v>39.599</v>
      </c>
      <c r="E27" s="20">
        <f t="shared" si="0"/>
        <v>54.56662532727022</v>
      </c>
      <c r="F27" s="20">
        <f t="shared" si="1"/>
        <v>99.99747474747474</v>
      </c>
    </row>
    <row r="28" spans="1:6" s="37" customFormat="1" ht="15">
      <c r="A28" s="38" t="s">
        <v>38</v>
      </c>
      <c r="B28" s="11">
        <v>276.527</v>
      </c>
      <c r="C28" s="11">
        <v>123.915</v>
      </c>
      <c r="D28" s="11">
        <v>122.938</v>
      </c>
      <c r="E28" s="20">
        <f t="shared" si="0"/>
        <v>44.45786487395444</v>
      </c>
      <c r="F28" s="20">
        <f t="shared" si="1"/>
        <v>99.21155630876002</v>
      </c>
    </row>
    <row r="29" spans="1:6" s="37" customFormat="1" ht="30">
      <c r="A29" s="38" t="s">
        <v>39</v>
      </c>
      <c r="B29" s="11">
        <v>1309.543</v>
      </c>
      <c r="C29" s="11">
        <v>756.903</v>
      </c>
      <c r="D29" s="11">
        <v>578.608</v>
      </c>
      <c r="E29" s="20">
        <f t="shared" si="0"/>
        <v>44.18396341319071</v>
      </c>
      <c r="F29" s="20">
        <f t="shared" si="1"/>
        <v>76.44414145537802</v>
      </c>
    </row>
    <row r="30" spans="1:6" s="37" customFormat="1" ht="15">
      <c r="A30" s="38" t="s">
        <v>40</v>
      </c>
      <c r="B30" s="11">
        <f>SUM(B24)-B25-B26-B27-B28-B29</f>
        <v>681194.06</v>
      </c>
      <c r="C30" s="11">
        <f>SUM(C24)-C25-C26-C27-C28-C29</f>
        <v>378131.31200000003</v>
      </c>
      <c r="D30" s="11">
        <f>SUM(D24)-D25-D26-D27-D28-D29</f>
        <v>375077.425</v>
      </c>
      <c r="E30" s="20">
        <f t="shared" si="0"/>
        <v>55.06175802531219</v>
      </c>
      <c r="F30" s="20">
        <f t="shared" si="1"/>
        <v>99.19237394442489</v>
      </c>
    </row>
    <row r="31" spans="1:6" s="37" customFormat="1" ht="15">
      <c r="A31" s="38" t="s">
        <v>44</v>
      </c>
      <c r="B31" s="11">
        <f>SUM(B32:B33)</f>
        <v>657774.8</v>
      </c>
      <c r="C31" s="11">
        <f>SUM(C32:C33)</f>
        <v>366373.208</v>
      </c>
      <c r="D31" s="11">
        <f>SUM(D32:D33)</f>
        <v>366364.83999999997</v>
      </c>
      <c r="E31" s="20">
        <f t="shared" si="0"/>
        <v>55.697609577016316</v>
      </c>
      <c r="F31" s="20">
        <f>SUM(D31)/C31*100</f>
        <v>99.99771599019324</v>
      </c>
    </row>
    <row r="32" spans="1:6" s="37" customFormat="1" ht="30">
      <c r="A32" s="39" t="s">
        <v>63</v>
      </c>
      <c r="B32" s="11">
        <v>424514.7</v>
      </c>
      <c r="C32" s="11">
        <v>218853.908</v>
      </c>
      <c r="D32" s="67">
        <v>218853.908</v>
      </c>
      <c r="E32" s="20">
        <f t="shared" si="0"/>
        <v>51.55390567158216</v>
      </c>
      <c r="F32" s="20">
        <f>SUM(D32)/C32*100</f>
        <v>100</v>
      </c>
    </row>
    <row r="33" spans="1:6" s="37" customFormat="1" ht="15">
      <c r="A33" s="39" t="s">
        <v>60</v>
      </c>
      <c r="B33" s="11">
        <v>233260.1</v>
      </c>
      <c r="C33" s="11">
        <v>147519.3</v>
      </c>
      <c r="D33" s="11">
        <v>147510.932</v>
      </c>
      <c r="E33" s="20">
        <f t="shared" si="0"/>
        <v>63.23881881213289</v>
      </c>
      <c r="F33" s="20">
        <f>SUM(D33)/C33*100</f>
        <v>99.99432752189037</v>
      </c>
    </row>
    <row r="34" spans="1:6" s="37" customFormat="1" ht="15">
      <c r="A34" s="36" t="s">
        <v>41</v>
      </c>
      <c r="B34" s="25">
        <v>3956.736</v>
      </c>
      <c r="C34" s="25">
        <f>1009.853+1345.618</f>
        <v>2355.471</v>
      </c>
      <c r="D34" s="25">
        <v>134.556</v>
      </c>
      <c r="E34" s="20">
        <f t="shared" si="0"/>
        <v>3.4006817740683233</v>
      </c>
      <c r="F34" s="20">
        <f>SUM(D34)/C34*100</f>
        <v>5.712488075633281</v>
      </c>
    </row>
    <row r="35" spans="1:6" s="35" customFormat="1" ht="14.25">
      <c r="A35" s="34" t="s">
        <v>61</v>
      </c>
      <c r="B35" s="18">
        <f>B36+B41</f>
        <v>96946.568</v>
      </c>
      <c r="C35" s="18">
        <f>C36+C41</f>
        <v>53564.383</v>
      </c>
      <c r="D35" s="18">
        <f>D36+D41</f>
        <v>44714.45799999999</v>
      </c>
      <c r="E35" s="19">
        <f t="shared" si="0"/>
        <v>46.12278590408687</v>
      </c>
      <c r="F35" s="19">
        <f>SUM(D35)/C35*100</f>
        <v>83.47796706628729</v>
      </c>
    </row>
    <row r="36" spans="1:6" s="37" customFormat="1" ht="15">
      <c r="A36" s="36" t="s">
        <v>43</v>
      </c>
      <c r="B36" s="25">
        <v>87324.4</v>
      </c>
      <c r="C36" s="25">
        <v>47075.479</v>
      </c>
      <c r="D36" s="25">
        <f>42526.738+180.272</f>
        <v>42707.009999999995</v>
      </c>
      <c r="E36" s="20">
        <f t="shared" si="0"/>
        <v>48.90615910329758</v>
      </c>
      <c r="F36" s="20">
        <f t="shared" si="1"/>
        <v>90.72028773196338</v>
      </c>
    </row>
    <row r="37" spans="1:6" s="37" customFormat="1" ht="15">
      <c r="A37" s="38" t="s">
        <v>35</v>
      </c>
      <c r="B37" s="11">
        <v>40460.715</v>
      </c>
      <c r="C37" s="11">
        <v>21766.973</v>
      </c>
      <c r="D37" s="11">
        <v>21114.074</v>
      </c>
      <c r="E37" s="20">
        <f t="shared" si="0"/>
        <v>52.184134660002925</v>
      </c>
      <c r="F37" s="20">
        <f>SUM(D37)/C37*100</f>
        <v>97.00050622564744</v>
      </c>
    </row>
    <row r="38" spans="1:6" s="37" customFormat="1" ht="15">
      <c r="A38" s="38" t="s">
        <v>36</v>
      </c>
      <c r="B38" s="11">
        <v>8901.357</v>
      </c>
      <c r="C38" s="11">
        <v>4824.604</v>
      </c>
      <c r="D38" s="11">
        <v>4670.175</v>
      </c>
      <c r="E38" s="20">
        <f t="shared" si="0"/>
        <v>52.465876832038084</v>
      </c>
      <c r="F38" s="20">
        <f t="shared" si="1"/>
        <v>96.79913626071695</v>
      </c>
    </row>
    <row r="39" spans="1:6" s="37" customFormat="1" ht="30">
      <c r="A39" s="38" t="s">
        <v>39</v>
      </c>
      <c r="B39" s="11">
        <v>6464.382</v>
      </c>
      <c r="C39" s="11">
        <v>3128.222</v>
      </c>
      <c r="D39" s="11">
        <v>2992.076</v>
      </c>
      <c r="E39" s="20">
        <f t="shared" si="0"/>
        <v>46.285569138704986</v>
      </c>
      <c r="F39" s="20">
        <f t="shared" si="1"/>
        <v>95.64781527653727</v>
      </c>
    </row>
    <row r="40" spans="1:6" s="37" customFormat="1" ht="15">
      <c r="A40" s="38" t="s">
        <v>40</v>
      </c>
      <c r="B40" s="11">
        <f>SUM(B36)-B37-B38-B39</f>
        <v>31497.945999999996</v>
      </c>
      <c r="C40" s="11">
        <f>SUM(C36)-C37-C38-C39</f>
        <v>17355.679999999997</v>
      </c>
      <c r="D40" s="11">
        <f>SUM(D36)-D37-D38-D39</f>
        <v>13930.684999999994</v>
      </c>
      <c r="E40" s="20">
        <f t="shared" si="0"/>
        <v>44.227280724908205</v>
      </c>
      <c r="F40" s="20">
        <f t="shared" si="1"/>
        <v>80.26585532805397</v>
      </c>
    </row>
    <row r="41" spans="1:6" s="37" customFormat="1" ht="15">
      <c r="A41" s="36" t="s">
        <v>41</v>
      </c>
      <c r="B41" s="25">
        <v>9622.168</v>
      </c>
      <c r="C41" s="25">
        <f>2367.91+4120.994</f>
        <v>6488.9039999999995</v>
      </c>
      <c r="D41" s="25">
        <v>2007.448</v>
      </c>
      <c r="E41" s="20">
        <f t="shared" si="0"/>
        <v>20.862741120296384</v>
      </c>
      <c r="F41" s="20">
        <f t="shared" si="1"/>
        <v>30.936626585938093</v>
      </c>
    </row>
    <row r="42" spans="1:6" s="35" customFormat="1" ht="14.25">
      <c r="A42" s="34" t="s">
        <v>62</v>
      </c>
      <c r="B42" s="18">
        <f>B43+B48</f>
        <v>54881.755</v>
      </c>
      <c r="C42" s="18">
        <f>C43+C48</f>
        <v>29579.85</v>
      </c>
      <c r="D42" s="18">
        <f>D43+D48</f>
        <v>24058.044</v>
      </c>
      <c r="E42" s="19">
        <f t="shared" si="0"/>
        <v>43.83614190180325</v>
      </c>
      <c r="F42" s="19">
        <f t="shared" si="1"/>
        <v>81.33254225427108</v>
      </c>
    </row>
    <row r="43" spans="1:6" s="37" customFormat="1" ht="15">
      <c r="A43" s="36" t="s">
        <v>43</v>
      </c>
      <c r="B43" s="25">
        <v>51249.062</v>
      </c>
      <c r="C43" s="25">
        <v>26001.157</v>
      </c>
      <c r="D43" s="25">
        <v>22926.574</v>
      </c>
      <c r="E43" s="20">
        <f t="shared" si="0"/>
        <v>44.7355973071273</v>
      </c>
      <c r="F43" s="20">
        <f t="shared" si="1"/>
        <v>88.1752069725205</v>
      </c>
    </row>
    <row r="44" spans="1:6" s="37" customFormat="1" ht="15">
      <c r="A44" s="38" t="s">
        <v>35</v>
      </c>
      <c r="B44" s="11">
        <v>24685.189</v>
      </c>
      <c r="C44" s="11">
        <v>11850.757</v>
      </c>
      <c r="D44" s="11">
        <v>11285.136</v>
      </c>
      <c r="E44" s="20">
        <f t="shared" si="0"/>
        <v>45.716222792541714</v>
      </c>
      <c r="F44" s="20">
        <f>SUM(D44)/C44*100</f>
        <v>95.22713190389442</v>
      </c>
    </row>
    <row r="45" spans="1:6" s="37" customFormat="1" ht="15">
      <c r="A45" s="38" t="s">
        <v>36</v>
      </c>
      <c r="B45" s="11">
        <v>5430.741</v>
      </c>
      <c r="C45" s="11">
        <v>2609.511</v>
      </c>
      <c r="D45" s="11">
        <v>2476.379</v>
      </c>
      <c r="E45" s="20">
        <f t="shared" si="0"/>
        <v>45.59928378097943</v>
      </c>
      <c r="F45" s="20">
        <f t="shared" si="1"/>
        <v>94.89820123387102</v>
      </c>
    </row>
    <row r="46" spans="1:6" s="37" customFormat="1" ht="30">
      <c r="A46" s="38" t="s">
        <v>39</v>
      </c>
      <c r="B46" s="11">
        <v>4194.121</v>
      </c>
      <c r="C46" s="11">
        <v>1949.844</v>
      </c>
      <c r="D46" s="11">
        <f>1761.172+2.426</f>
        <v>1763.598</v>
      </c>
      <c r="E46" s="20">
        <f t="shared" si="0"/>
        <v>42.04928756228063</v>
      </c>
      <c r="F46" s="20">
        <f t="shared" si="1"/>
        <v>90.44815892963744</v>
      </c>
    </row>
    <row r="47" spans="1:6" s="37" customFormat="1" ht="15">
      <c r="A47" s="38" t="s">
        <v>40</v>
      </c>
      <c r="B47" s="11">
        <f>SUM(B43)-B44-B45-B46</f>
        <v>16939.011</v>
      </c>
      <c r="C47" s="11">
        <f>SUM(C43)-C44-C45-C46</f>
        <v>9591.044999999998</v>
      </c>
      <c r="D47" s="11">
        <f>SUM(D43)-D44-D45-D46</f>
        <v>7401.461000000001</v>
      </c>
      <c r="E47" s="20">
        <f t="shared" si="0"/>
        <v>43.694764706156704</v>
      </c>
      <c r="F47" s="20">
        <f t="shared" si="1"/>
        <v>77.17053772555548</v>
      </c>
    </row>
    <row r="48" spans="1:6" s="37" customFormat="1" ht="15">
      <c r="A48" s="36" t="s">
        <v>41</v>
      </c>
      <c r="B48" s="25">
        <v>3632.693</v>
      </c>
      <c r="C48" s="25">
        <f>1758.148+1820.545</f>
        <v>3578.693</v>
      </c>
      <c r="D48" s="25">
        <v>1131.47</v>
      </c>
      <c r="E48" s="20">
        <f t="shared" si="0"/>
        <v>31.146865424631258</v>
      </c>
      <c r="F48" s="20">
        <f t="shared" si="1"/>
        <v>31.616850062299278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42173.049</v>
      </c>
      <c r="D49" s="18">
        <f>D50+D55</f>
        <v>37510.617</v>
      </c>
      <c r="E49" s="19">
        <f t="shared" si="0"/>
        <v>41.417070994493535</v>
      </c>
      <c r="F49" s="19">
        <f t="shared" si="1"/>
        <v>88.94452236545666</v>
      </c>
    </row>
    <row r="50" spans="1:6" s="37" customFormat="1" ht="15">
      <c r="A50" s="36" t="s">
        <v>43</v>
      </c>
      <c r="B50" s="25">
        <v>82568.01</v>
      </c>
      <c r="C50" s="25">
        <v>39040.349</v>
      </c>
      <c r="D50" s="25">
        <v>36951.877</v>
      </c>
      <c r="E50" s="20">
        <f t="shared" si="0"/>
        <v>44.753260978434625</v>
      </c>
      <c r="F50" s="20">
        <f t="shared" si="1"/>
        <v>94.65047815018252</v>
      </c>
    </row>
    <row r="51" spans="1:6" s="37" customFormat="1" ht="15">
      <c r="A51" s="38" t="s">
        <v>35</v>
      </c>
      <c r="B51" s="11">
        <v>50916.2</v>
      </c>
      <c r="C51" s="11">
        <v>24072.187</v>
      </c>
      <c r="D51" s="11">
        <v>23646.435</v>
      </c>
      <c r="E51" s="20">
        <f t="shared" si="0"/>
        <v>46.441869188981116</v>
      </c>
      <c r="F51" s="20">
        <f>SUM(D51)/C51*100</f>
        <v>98.23135305487615</v>
      </c>
    </row>
    <row r="52" spans="1:6" s="37" customFormat="1" ht="15">
      <c r="A52" s="38" t="s">
        <v>36</v>
      </c>
      <c r="B52" s="11">
        <v>11270.743</v>
      </c>
      <c r="C52" s="11">
        <v>5326.242</v>
      </c>
      <c r="D52" s="11">
        <v>5186.717</v>
      </c>
      <c r="E52" s="20">
        <f t="shared" si="0"/>
        <v>46.019299703666384</v>
      </c>
      <c r="F52" s="20">
        <f t="shared" si="1"/>
        <v>97.38042319519089</v>
      </c>
    </row>
    <row r="53" spans="1:6" s="37" customFormat="1" ht="30">
      <c r="A53" s="38" t="s">
        <v>39</v>
      </c>
      <c r="B53" s="11">
        <v>4798.274</v>
      </c>
      <c r="C53" s="11">
        <v>2185.256</v>
      </c>
      <c r="D53" s="11">
        <v>2093.779</v>
      </c>
      <c r="E53" s="20">
        <f t="shared" si="0"/>
        <v>43.63608664282198</v>
      </c>
      <c r="F53" s="20">
        <f t="shared" si="1"/>
        <v>95.8139000647979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7456.664000000001</v>
      </c>
      <c r="D54" s="11">
        <f>SUM(D50)-D51-D52-D53</f>
        <v>6024.946</v>
      </c>
      <c r="E54" s="20">
        <f t="shared" si="0"/>
        <v>38.66409571121173</v>
      </c>
      <c r="F54" s="20">
        <f t="shared" si="1"/>
        <v>80.79948352239018</v>
      </c>
    </row>
    <row r="55" spans="1:6" s="37" customFormat="1" ht="15">
      <c r="A55" s="36" t="s">
        <v>41</v>
      </c>
      <c r="B55" s="25">
        <v>8000</v>
      </c>
      <c r="C55" s="25">
        <f>1884.933+1247.767</f>
        <v>3132.7</v>
      </c>
      <c r="D55" s="25">
        <v>558.74</v>
      </c>
      <c r="E55" s="20">
        <f t="shared" si="0"/>
        <v>6.98425</v>
      </c>
      <c r="F55" s="20">
        <f t="shared" si="1"/>
        <v>17.83573275449293</v>
      </c>
    </row>
    <row r="56" spans="1:6" s="37" customFormat="1" ht="28.5">
      <c r="A56" s="21" t="s">
        <v>46</v>
      </c>
      <c r="B56" s="22">
        <f>B57+B60</f>
        <v>306187.88399999996</v>
      </c>
      <c r="C56" s="22">
        <f>C57+C60</f>
        <v>96819.912</v>
      </c>
      <c r="D56" s="22">
        <f>D57+D60</f>
        <v>65774.872</v>
      </c>
      <c r="E56" s="19">
        <f t="shared" si="0"/>
        <v>21.481866343215597</v>
      </c>
      <c r="F56" s="19">
        <f t="shared" si="1"/>
        <v>67.93527347969497</v>
      </c>
    </row>
    <row r="57" spans="1:6" s="37" customFormat="1" ht="15">
      <c r="A57" s="36" t="s">
        <v>43</v>
      </c>
      <c r="B57" s="25">
        <v>179378.042</v>
      </c>
      <c r="C57" s="25">
        <v>78072.11</v>
      </c>
      <c r="D57" s="25">
        <f>55239.295+472.864</f>
        <v>55712.159</v>
      </c>
      <c r="E57" s="20">
        <f t="shared" si="0"/>
        <v>31.058516627135447</v>
      </c>
      <c r="F57" s="20">
        <f t="shared" si="1"/>
        <v>71.35987358353707</v>
      </c>
    </row>
    <row r="58" spans="1:6" s="37" customFormat="1" ht="30">
      <c r="A58" s="38" t="s">
        <v>39</v>
      </c>
      <c r="B58" s="11">
        <v>20033.7</v>
      </c>
      <c r="C58" s="11">
        <v>10442.234</v>
      </c>
      <c r="D58" s="11">
        <f>9856.172+3.845</f>
        <v>9860.017</v>
      </c>
      <c r="E58" s="20">
        <f t="shared" si="0"/>
        <v>49.217154095349336</v>
      </c>
      <c r="F58" s="20">
        <f>SUM(D58)/C58*100</f>
        <v>94.42440190480312</v>
      </c>
    </row>
    <row r="59" spans="1:6" s="37" customFormat="1" ht="15">
      <c r="A59" s="38" t="s">
        <v>40</v>
      </c>
      <c r="B59" s="11">
        <f>SUM(B57)-B58</f>
        <v>159344.34199999998</v>
      </c>
      <c r="C59" s="11">
        <f>SUM(C57)-C58</f>
        <v>67629.876</v>
      </c>
      <c r="D59" s="11">
        <f>SUM(D57)-D58</f>
        <v>45852.142</v>
      </c>
      <c r="E59" s="20">
        <f t="shared" si="0"/>
        <v>28.775506820317474</v>
      </c>
      <c r="F59" s="20">
        <f t="shared" si="1"/>
        <v>67.79864863274331</v>
      </c>
    </row>
    <row r="60" spans="1:6" s="37" customFormat="1" ht="15">
      <c r="A60" s="36" t="s">
        <v>41</v>
      </c>
      <c r="B60" s="25">
        <f>2465+124344.842</f>
        <v>126809.842</v>
      </c>
      <c r="C60" s="25">
        <f>2465+850+35+8938.286+6459.516</f>
        <v>18747.802</v>
      </c>
      <c r="D60" s="25">
        <v>10062.713</v>
      </c>
      <c r="E60" s="20">
        <f t="shared" si="0"/>
        <v>7.935277610392418</v>
      </c>
      <c r="F60" s="20">
        <f t="shared" si="1"/>
        <v>53.67409470187492</v>
      </c>
    </row>
    <row r="61" spans="1:6" s="37" customFormat="1" ht="15">
      <c r="A61" s="21" t="s">
        <v>47</v>
      </c>
      <c r="B61" s="22">
        <f>SUM(B62)</f>
        <v>97322.069</v>
      </c>
      <c r="C61" s="22">
        <f>SUM(C62)</f>
        <v>16430.835</v>
      </c>
      <c r="D61" s="22">
        <f>SUM(D62)</f>
        <v>7308.522</v>
      </c>
      <c r="E61" s="20">
        <f t="shared" si="0"/>
        <v>7.509624564188005</v>
      </c>
      <c r="F61" s="20">
        <f t="shared" si="1"/>
        <v>44.48052700912644</v>
      </c>
    </row>
    <row r="62" spans="1:6" s="37" customFormat="1" ht="15">
      <c r="A62" s="36" t="s">
        <v>41</v>
      </c>
      <c r="B62" s="25">
        <v>97322.069</v>
      </c>
      <c r="C62" s="25">
        <f>6846.272+9584.563</f>
        <v>16430.835</v>
      </c>
      <c r="D62" s="25">
        <v>7308.522</v>
      </c>
      <c r="E62" s="20">
        <f t="shared" si="0"/>
        <v>7.509624564188005</v>
      </c>
      <c r="F62" s="20">
        <f t="shared" si="1"/>
        <v>44.48052700912644</v>
      </c>
    </row>
    <row r="63" spans="1:6" s="37" customFormat="1" ht="15">
      <c r="A63" s="40" t="s">
        <v>48</v>
      </c>
      <c r="B63" s="22">
        <f>SUM(B64:B65)</f>
        <v>192940.72999999998</v>
      </c>
      <c r="C63" s="22">
        <f>SUM(C64:C65)</f>
        <v>75416.266</v>
      </c>
      <c r="D63" s="22">
        <f>1832.812+718.781</f>
        <v>2551.593</v>
      </c>
      <c r="E63" s="19">
        <f t="shared" si="0"/>
        <v>1.3224750419468196</v>
      </c>
      <c r="F63" s="19">
        <f t="shared" si="1"/>
        <v>3.383345709531681</v>
      </c>
    </row>
    <row r="64" spans="1:6" s="37" customFormat="1" ht="15">
      <c r="A64" s="36" t="s">
        <v>40</v>
      </c>
      <c r="B64" s="25">
        <v>82070.117</v>
      </c>
      <c r="C64" s="25">
        <v>47146.367</v>
      </c>
      <c r="D64" s="25">
        <v>40272.201</v>
      </c>
      <c r="E64" s="20">
        <f t="shared" si="0"/>
        <v>49.070480793880186</v>
      </c>
      <c r="F64" s="20">
        <f t="shared" si="1"/>
        <v>85.41952129630688</v>
      </c>
    </row>
    <row r="65" spans="1:6" s="37" customFormat="1" ht="15">
      <c r="A65" s="36" t="s">
        <v>41</v>
      </c>
      <c r="B65" s="25">
        <v>110870.613</v>
      </c>
      <c r="C65" s="25">
        <f>12769.899+15500</f>
        <v>28269.898999999998</v>
      </c>
      <c r="D65" s="25">
        <v>14564.799</v>
      </c>
      <c r="E65" s="20">
        <f t="shared" si="0"/>
        <v>13.13675337936483</v>
      </c>
      <c r="F65" s="20">
        <f t="shared" si="1"/>
        <v>51.520520112222556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1113</v>
      </c>
      <c r="D66" s="22">
        <f>SUM(D67:D67)</f>
        <v>1112.871</v>
      </c>
      <c r="E66" s="19">
        <f t="shared" si="0"/>
        <v>16.128565217391305</v>
      </c>
      <c r="F66" s="19">
        <f t="shared" si="1"/>
        <v>99.98840970350406</v>
      </c>
    </row>
    <row r="67" spans="1:6" s="37" customFormat="1" ht="15">
      <c r="A67" s="36" t="s">
        <v>41</v>
      </c>
      <c r="B67" s="25">
        <v>6900</v>
      </c>
      <c r="C67" s="25">
        <f>300+813</f>
        <v>1113</v>
      </c>
      <c r="D67" s="25">
        <v>1112.871</v>
      </c>
      <c r="E67" s="20">
        <f t="shared" si="0"/>
        <v>16.128565217391305</v>
      </c>
      <c r="F67" s="20">
        <f t="shared" si="1"/>
        <v>99.98840970350406</v>
      </c>
    </row>
    <row r="68" spans="1:6" s="37" customFormat="1" ht="39.75" customHeight="1">
      <c r="A68" s="40" t="s">
        <v>50</v>
      </c>
      <c r="B68" s="18">
        <f>SUM(B69)+B72</f>
        <v>9526</v>
      </c>
      <c r="C68" s="18">
        <f>SUM(C69)+C72</f>
        <v>3204.276</v>
      </c>
      <c r="D68" s="18">
        <f>SUM(D69)+D72</f>
        <v>3046.751</v>
      </c>
      <c r="E68" s="19">
        <f t="shared" si="0"/>
        <v>31.9835292882637</v>
      </c>
      <c r="F68" s="19">
        <f t="shared" si="1"/>
        <v>95.08391287142557</v>
      </c>
    </row>
    <row r="69" spans="1:6" s="37" customFormat="1" ht="15">
      <c r="A69" s="36" t="s">
        <v>43</v>
      </c>
      <c r="B69" s="25">
        <v>8800.034</v>
      </c>
      <c r="C69" s="25">
        <v>3204.276</v>
      </c>
      <c r="D69" s="25">
        <v>3046.751</v>
      </c>
      <c r="E69" s="20">
        <f aca="true" t="shared" si="2" ref="E69:E90">SUM(D69)/B69*100</f>
        <v>34.62203668758553</v>
      </c>
      <c r="F69" s="20">
        <f t="shared" si="1"/>
        <v>95.08391287142557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1.424</v>
      </c>
      <c r="E70" s="20">
        <f t="shared" si="2"/>
        <v>9.521262369617546</v>
      </c>
      <c r="F70" s="20">
        <f t="shared" si="1"/>
        <v>12.782764811490125</v>
      </c>
    </row>
    <row r="71" spans="1:6" s="37" customFormat="1" ht="15">
      <c r="A71" s="38" t="s">
        <v>40</v>
      </c>
      <c r="B71" s="11">
        <f>SUM(B69)-B70</f>
        <v>8785.078</v>
      </c>
      <c r="C71" s="11">
        <f>SUM(C69)-C70</f>
        <v>3193.136</v>
      </c>
      <c r="D71" s="11">
        <f>SUM(D69)-D70</f>
        <v>3045.327</v>
      </c>
      <c r="E71" s="19">
        <f t="shared" si="2"/>
        <v>34.66476905498164</v>
      </c>
      <c r="F71" s="19">
        <f t="shared" si="1"/>
        <v>95.37103963000636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>
        <f t="shared" si="2"/>
        <v>0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1670</v>
      </c>
      <c r="C73" s="18"/>
      <c r="D73" s="18"/>
      <c r="E73" s="20">
        <f t="shared" si="2"/>
        <v>0</v>
      </c>
      <c r="F73" s="20" t="e">
        <f t="shared" si="1"/>
        <v>#DIV/0!</v>
      </c>
    </row>
    <row r="74" spans="1:6" s="37" customFormat="1" ht="15">
      <c r="A74" s="40" t="s">
        <v>52</v>
      </c>
      <c r="B74" s="18">
        <v>37806.6</v>
      </c>
      <c r="C74" s="18">
        <v>18903.6</v>
      </c>
      <c r="D74" s="18">
        <v>17853.4</v>
      </c>
      <c r="E74" s="20">
        <f t="shared" si="2"/>
        <v>47.22297165045257</v>
      </c>
      <c r="F74" s="20">
        <f aca="true" t="shared" si="3" ref="F74:F90">SUM(D74)/C74*100</f>
        <v>94.44444444444446</v>
      </c>
    </row>
    <row r="75" spans="1:6" s="35" customFormat="1" ht="15">
      <c r="A75" s="34" t="s">
        <v>53</v>
      </c>
      <c r="B75" s="18">
        <f>SUM(B76)+B80</f>
        <v>16607.913</v>
      </c>
      <c r="C75" s="18">
        <f>SUM(C76)+C80</f>
        <v>10938.661</v>
      </c>
      <c r="D75" s="18">
        <f>SUM(D76)+D80</f>
        <v>1414.6509999999998</v>
      </c>
      <c r="E75" s="20">
        <f t="shared" si="2"/>
        <v>8.517933589849608</v>
      </c>
      <c r="F75" s="20">
        <f t="shared" si="3"/>
        <v>12.932579225190358</v>
      </c>
    </row>
    <row r="76" spans="1:6" s="35" customFormat="1" ht="15">
      <c r="A76" s="36" t="s">
        <v>43</v>
      </c>
      <c r="B76" s="25">
        <f>11077.904+196.033</f>
        <v>11273.937</v>
      </c>
      <c r="C76" s="25">
        <v>8484.475</v>
      </c>
      <c r="D76" s="25">
        <f>1019.382+395.269</f>
        <v>1414.6509999999998</v>
      </c>
      <c r="E76" s="19">
        <f t="shared" si="2"/>
        <v>12.547976807037328</v>
      </c>
      <c r="F76" s="20">
        <f t="shared" si="3"/>
        <v>16.673406427622215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11273.937</v>
      </c>
      <c r="C79" s="11">
        <f>SUM(C76)-C77-C78</f>
        <v>8484.475</v>
      </c>
      <c r="D79" s="11">
        <f>SUM(D76)-D77-D78</f>
        <v>1414.6509999999998</v>
      </c>
      <c r="E79" s="20">
        <f t="shared" si="2"/>
        <v>12.547976807037328</v>
      </c>
      <c r="F79" s="20">
        <f>SUM(D79)/C79*100</f>
        <v>16.673406427622215</v>
      </c>
    </row>
    <row r="80" spans="1:6" s="37" customFormat="1" ht="15">
      <c r="A80" s="36" t="s">
        <v>41</v>
      </c>
      <c r="B80" s="25">
        <v>5333.976</v>
      </c>
      <c r="C80" s="25">
        <v>2454.186</v>
      </c>
      <c r="D80" s="25"/>
      <c r="E80" s="20">
        <f t="shared" si="2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f>15000+775.5-705.5</f>
        <v>15070</v>
      </c>
      <c r="C81" s="18">
        <f>15000+39.6</f>
        <v>15039.6</v>
      </c>
      <c r="D81" s="18">
        <v>8000</v>
      </c>
      <c r="E81" s="20">
        <f t="shared" si="2"/>
        <v>53.085600530856006</v>
      </c>
      <c r="F81" s="20">
        <f t="shared" si="3"/>
        <v>53.192904066597514</v>
      </c>
    </row>
    <row r="82" spans="1:11" s="46" customFormat="1" ht="15.75">
      <c r="A82" s="43" t="s">
        <v>55</v>
      </c>
      <c r="B82" s="28">
        <f>B5+B14+B23+B35+B42+B49+B56+B61+B63+B66+B68+B73+B74+B75+B81</f>
        <v>2746444.732</v>
      </c>
      <c r="C82" s="28">
        <f>C5+C14+C23+C35+C42+C49+C56+C61+C63+C66+C68+C73+C74+C75+C81</f>
        <v>1348879.4800000004</v>
      </c>
      <c r="D82" s="28">
        <f>D5+D14+D23+D35+D42+D49+D56+D61+D63+D66+D68+D73+D74+D75+D81</f>
        <v>1143552.9050000003</v>
      </c>
      <c r="E82" s="20">
        <f t="shared" si="2"/>
        <v>41.63757208277222</v>
      </c>
      <c r="F82" s="20">
        <f t="shared" si="3"/>
        <v>84.77798957991412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2304746.08</v>
      </c>
      <c r="C83" s="28">
        <f>C6+C15+C24+C36+C43+C50+C57+C64+C69+C76+C74</f>
        <v>1233194.1560000004</v>
      </c>
      <c r="D83" s="28">
        <f>D6+D15+D24+D36+D43+D50+D57+D64+D69+D76+D74</f>
        <v>1143357.692</v>
      </c>
      <c r="E83" s="20">
        <f t="shared" si="2"/>
        <v>49.60883552083099</v>
      </c>
      <c r="F83" s="20">
        <f t="shared" si="3"/>
        <v>92.7151403075575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754676.7779999999</v>
      </c>
      <c r="C84" s="22">
        <f t="shared" si="4"/>
        <v>408975.50299999997</v>
      </c>
      <c r="D84" s="22">
        <f t="shared" si="4"/>
        <v>395453.965</v>
      </c>
      <c r="E84" s="19">
        <f t="shared" si="2"/>
        <v>52.40044168948843</v>
      </c>
      <c r="F84" s="19">
        <f t="shared" si="3"/>
        <v>96.6938024647408</v>
      </c>
    </row>
    <row r="85" spans="1:6" ht="15">
      <c r="A85" s="47" t="s">
        <v>36</v>
      </c>
      <c r="B85" s="22">
        <f t="shared" si="4"/>
        <v>166063.64299999998</v>
      </c>
      <c r="C85" s="22">
        <f t="shared" si="4"/>
        <v>90286.49</v>
      </c>
      <c r="D85" s="22">
        <f t="shared" si="4"/>
        <v>87103.79100000001</v>
      </c>
      <c r="E85" s="19">
        <f t="shared" si="2"/>
        <v>52.45205357803696</v>
      </c>
      <c r="F85" s="19">
        <f t="shared" si="3"/>
        <v>96.47488898948227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85685.43899999998</v>
      </c>
      <c r="D86" s="22">
        <f>D70+D11+D20+D29+D39+D46+D53+D58</f>
        <v>76556.51799999998</v>
      </c>
      <c r="E86" s="19">
        <f t="shared" si="2"/>
        <v>46.20720739436822</v>
      </c>
      <c r="F86" s="19">
        <f>SUM(D86)/C86*100</f>
        <v>89.34600661846407</v>
      </c>
    </row>
    <row r="87" spans="1:6" ht="15">
      <c r="A87" s="47" t="s">
        <v>40</v>
      </c>
      <c r="B87" s="22">
        <f>B83-B84-B85-B86</f>
        <v>1218324.7570000002</v>
      </c>
      <c r="C87" s="22">
        <f>C83-C84-C85-C86</f>
        <v>648246.7240000004</v>
      </c>
      <c r="D87" s="22">
        <f>D83-D84-D85-D86</f>
        <v>584243.4180000001</v>
      </c>
      <c r="E87" s="19">
        <f t="shared" si="2"/>
        <v>47.9546536868084</v>
      </c>
      <c r="F87" s="19">
        <f t="shared" si="3"/>
        <v>90.12670583121985</v>
      </c>
    </row>
    <row r="88" spans="1:6" ht="15">
      <c r="A88" s="34" t="s">
        <v>41</v>
      </c>
      <c r="B88" s="18">
        <f>B13+B22+B41+B34+B55+B60+B62+B65+B67+B72+B80+B48</f>
        <v>424958.65200000006</v>
      </c>
      <c r="C88" s="18">
        <f>C13+C22+C41+C34+C55+C60+C62+C65+C67+C72+C80+C48</f>
        <v>100645.724</v>
      </c>
      <c r="D88" s="18">
        <f>D13+D22+D41+D34+D55+D60+D62+D65+D67+D72+D80+D48</f>
        <v>44480.62</v>
      </c>
      <c r="E88" s="19">
        <f t="shared" si="2"/>
        <v>10.46704656809764</v>
      </c>
      <c r="F88" s="19">
        <f t="shared" si="3"/>
        <v>44.19524072378873</v>
      </c>
    </row>
    <row r="89" spans="1:6" ht="15">
      <c r="A89" s="34" t="s">
        <v>57</v>
      </c>
      <c r="B89" s="18">
        <f>SUM(B81)</f>
        <v>15070</v>
      </c>
      <c r="C89" s="18">
        <f>SUM(C81)</f>
        <v>15039.6</v>
      </c>
      <c r="D89" s="18">
        <f>SUM(D81)</f>
        <v>8000</v>
      </c>
      <c r="E89" s="19">
        <f t="shared" si="2"/>
        <v>53.085600530856006</v>
      </c>
      <c r="F89" s="19">
        <f t="shared" si="3"/>
        <v>53.192904066597514</v>
      </c>
    </row>
    <row r="90" spans="1:6" ht="28.5">
      <c r="A90" s="34" t="s">
        <v>58</v>
      </c>
      <c r="B90" s="18">
        <f>SUM(B73)</f>
        <v>1670</v>
      </c>
      <c r="C90" s="18">
        <f>SUM(C73)</f>
        <v>0</v>
      </c>
      <c r="D90" s="18"/>
      <c r="E90" s="19">
        <f t="shared" si="2"/>
        <v>0</v>
      </c>
      <c r="F90" s="19" t="e">
        <f t="shared" si="3"/>
        <v>#DIV/0!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2016-06-30T07:26:28Z</cp:lastPrinted>
  <dcterms:created xsi:type="dcterms:W3CDTF">2015-04-07T07:35:57Z</dcterms:created>
  <dcterms:modified xsi:type="dcterms:W3CDTF">2016-06-30T07:57:48Z</dcterms:modified>
  <cp:category/>
  <cp:version/>
  <cp:contentType/>
  <cp:contentStatus/>
</cp:coreProperties>
</file>