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<sst xmlns="http://schemas.openxmlformats.org/spreadsheetml/2006/main" count="184" uniqueCount="75">
  <si>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</si>
  <si>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</si>
  <si>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</si>
  <si>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</si>
  <si>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</si>
  <si>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</si>
  <si>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</si>
  <si>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</si>
  <si>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</si>
  <si>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</si>
  <si>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</si>
  <si>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</si>
  <si>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</si>
  <si>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</si>
  <si>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</si>
  <si>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</si>
  <si>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</si>
  <si>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</si>
  <si>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</si>
  <si>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</si>
  <si>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</si>
  <si>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</si>
  <si>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</si>
  <si>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</si>
  <si>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</si>
  <si>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</si>
  <si>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</si>
  <si>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</si>
  <si>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</si>
  <si>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</si>
  <si>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</si>
  <si>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</si>
  <si>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</si>
  <si>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</si>
  <si>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</si>
  <si>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</si>
  <si>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</si>
  <si>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</si>
  <si>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</si>
  <si>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</si>
  <si>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</si>
  <si>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</si>
  <si>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</si>
  <si>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</si>
  <si>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</si>
  <si>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</si>
  <si>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</si>
  <si>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</si>
  <si>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</si>
  <si>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</si>
  <si>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</si>
  <si>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</si>
  <si>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</si>
  <si>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</si>
  <si>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</si>
  <si>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</si>
  <si>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</si>
  <si>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</si>
  <si>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</si>
  <si>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</si>
  <si>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</si>
  <si>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</si>
  <si>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</si>
  <si>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</si>
  <si>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</si>
  <si>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</si>
  <si>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</si>
  <si>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</si>
  <si>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</si>
  <si>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 xml:space="preserve">План на январь-май с учетом изменений, тыс. грн. </t>
  </si>
  <si>
    <t>План на січень-липень, з урахуванням змін тис. грн.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</si>
  <si>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</si>
  <si>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</si>
  <si>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8 липня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</si>
  <si>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8 июля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</si>
</sst>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4" topLeftCell="B5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0" sqref="J6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68" t="s">
        <v>71</v>
      </c>
      <c r="B1" s="68"/>
      <c r="C1" s="68"/>
      <c r="D1" s="68"/>
      <c r="E1" s="68"/>
      <c r="F1" s="68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69"/>
      <c r="B3" s="69" t="s">
        <v>64</v>
      </c>
      <c r="C3" s="69" t="s">
        <v>70</v>
      </c>
      <c r="D3" s="70" t="s">
        <v>73</v>
      </c>
      <c r="E3" s="69" t="s">
        <v>65</v>
      </c>
      <c r="F3" s="69" t="s">
        <v>15</v>
      </c>
    </row>
    <row r="4" spans="1:6" s="1" customFormat="1" ht="86.25" customHeight="1">
      <c r="A4" s="69"/>
      <c r="B4" s="69"/>
      <c r="C4" s="69"/>
      <c r="D4" s="70"/>
      <c r="E4" s="69"/>
      <c r="F4" s="69"/>
    </row>
    <row r="5" spans="1:6" s="2" customFormat="1" ht="16.5" customHeight="1">
      <c r="A5" s="17" t="s">
        <v>3</v>
      </c>
      <c r="B5" s="18">
        <f>B6+B13</f>
        <v>726380.178</v>
      </c>
      <c r="C5" s="18">
        <f>C6+C13</f>
        <v>468298.146</v>
      </c>
      <c r="D5" s="18">
        <f>D6+D13</f>
        <v>374683.47099999996</v>
      </c>
      <c r="E5" s="19">
        <f aca="true" t="shared" si="0" ref="E5:E36">SUM(D5)/B5*100</f>
        <v>51.582281888754956</v>
      </c>
      <c r="F5" s="19">
        <f>SUM(D5)/C5*100</f>
        <v>80.00959948280469</v>
      </c>
    </row>
    <row r="6" spans="1:6" s="14" customFormat="1" ht="16.5" customHeight="1">
      <c r="A6" s="30" t="s">
        <v>32</v>
      </c>
      <c r="B6" s="25">
        <v>688905.519</v>
      </c>
      <c r="C6" s="25">
        <v>443730.09</v>
      </c>
      <c r="D6" s="25">
        <f>366864.855+129.175</f>
        <v>366994.02999999997</v>
      </c>
      <c r="E6" s="20">
        <f t="shared" si="0"/>
        <v>53.272040922639206</v>
      </c>
      <c r="F6" s="20">
        <f>SUM(D6)/C6*100</f>
        <v>82.70659084670142</v>
      </c>
    </row>
    <row r="7" spans="1:6" s="3" customFormat="1" ht="14.25" customHeight="1">
      <c r="A7" s="12" t="s">
        <v>1</v>
      </c>
      <c r="B7" s="11">
        <v>402687.173</v>
      </c>
      <c r="C7" s="11">
        <v>255535.266</v>
      </c>
      <c r="D7" s="11">
        <v>228450.384</v>
      </c>
      <c r="E7" s="20">
        <f t="shared" si="0"/>
        <v>56.73147776177117</v>
      </c>
      <c r="F7" s="20">
        <f aca="true" t="shared" si="1" ref="F7:F73">SUM(D7)/C7*100</f>
        <v>89.40072639523657</v>
      </c>
    </row>
    <row r="8" spans="1:6" s="3" customFormat="1" ht="15">
      <c r="A8" s="12" t="s">
        <v>27</v>
      </c>
      <c r="B8" s="11">
        <v>88423.224</v>
      </c>
      <c r="C8" s="11">
        <v>56460.633</v>
      </c>
      <c r="D8" s="11">
        <v>50642.617</v>
      </c>
      <c r="E8" s="20">
        <f t="shared" si="0"/>
        <v>57.27298181301328</v>
      </c>
      <c r="F8" s="20">
        <f t="shared" si="1"/>
        <v>89.69544673719828</v>
      </c>
    </row>
    <row r="9" spans="1:6" s="3" customFormat="1" ht="15">
      <c r="A9" s="12" t="s">
        <v>4</v>
      </c>
      <c r="B9" s="11">
        <v>153.271</v>
      </c>
      <c r="C9" s="11">
        <v>69.715</v>
      </c>
      <c r="D9" s="11">
        <v>14.203</v>
      </c>
      <c r="E9" s="20">
        <f t="shared" si="0"/>
        <v>9.26659315852314</v>
      </c>
      <c r="F9" s="20"/>
    </row>
    <row r="10" spans="1:6" s="3" customFormat="1" ht="15">
      <c r="A10" s="12" t="s">
        <v>5</v>
      </c>
      <c r="B10" s="11">
        <v>47825.907</v>
      </c>
      <c r="C10" s="11">
        <v>24743.565</v>
      </c>
      <c r="D10" s="11">
        <f>20179.678+15.193</f>
        <v>20194.871</v>
      </c>
      <c r="E10" s="20">
        <f t="shared" si="0"/>
        <v>42.22579824779904</v>
      </c>
      <c r="F10" s="20">
        <f t="shared" si="1"/>
        <v>81.61665871510431</v>
      </c>
    </row>
    <row r="11" spans="1:6" s="3" customFormat="1" ht="15">
      <c r="A11" s="12" t="s">
        <v>29</v>
      </c>
      <c r="B11" s="11">
        <v>92734.871</v>
      </c>
      <c r="C11" s="11">
        <v>63286.262</v>
      </c>
      <c r="D11" s="11">
        <f>43648.303+8.305</f>
        <v>43656.608</v>
      </c>
      <c r="E11" s="20">
        <f t="shared" si="0"/>
        <v>47.07679811189903</v>
      </c>
      <c r="F11" s="20">
        <f t="shared" si="1"/>
        <v>68.98275647880736</v>
      </c>
    </row>
    <row r="12" spans="1:6" s="3" customFormat="1" ht="15">
      <c r="A12" s="12" t="s">
        <v>13</v>
      </c>
      <c r="B12" s="11">
        <f>SUM(B6)-B7-B8-B9-B10-B11</f>
        <v>57081.07299999996</v>
      </c>
      <c r="C12" s="11">
        <f>SUM(C6)-C7-C8-C9-C10-C11</f>
        <v>43634.64900000002</v>
      </c>
      <c r="D12" s="11">
        <f>SUM(D6)-D7-D8-D9-D10-D11</f>
        <v>24035.346999999987</v>
      </c>
      <c r="E12" s="20">
        <f t="shared" si="0"/>
        <v>42.1073847017557</v>
      </c>
      <c r="F12" s="20">
        <f t="shared" si="1"/>
        <v>55.08316796589787</v>
      </c>
    </row>
    <row r="13" spans="1:6" s="3" customFormat="1" ht="15">
      <c r="A13" s="30" t="s">
        <v>14</v>
      </c>
      <c r="B13" s="25">
        <f>36724.789+749.87</f>
        <v>37474.659</v>
      </c>
      <c r="C13" s="25">
        <v>24568.056</v>
      </c>
      <c r="D13" s="25">
        <v>7689.441</v>
      </c>
      <c r="E13" s="20">
        <f t="shared" si="0"/>
        <v>20.519041947786636</v>
      </c>
      <c r="F13" s="20">
        <f t="shared" si="1"/>
        <v>31.298532533465405</v>
      </c>
    </row>
    <row r="14" spans="1:6" s="2" customFormat="1" ht="14.25">
      <c r="A14" s="17" t="s">
        <v>6</v>
      </c>
      <c r="B14" s="18">
        <f>B15+B22</f>
        <v>390924.212</v>
      </c>
      <c r="C14" s="18">
        <f>C15+C22</f>
        <v>227081.63199999998</v>
      </c>
      <c r="D14" s="18">
        <f>D15+D22</f>
        <v>189633.955</v>
      </c>
      <c r="E14" s="19">
        <f t="shared" si="0"/>
        <v>48.50913532058229</v>
      </c>
      <c r="F14" s="19">
        <f t="shared" si="1"/>
        <v>83.50915630199451</v>
      </c>
    </row>
    <row r="15" spans="1:6" s="14" customFormat="1" ht="15">
      <c r="A15" s="30" t="s">
        <v>31</v>
      </c>
      <c r="B15" s="25">
        <f>350593.412+25271</f>
        <v>375864.412</v>
      </c>
      <c r="C15" s="25">
        <f>203572.56+14724.5</f>
        <v>218297.06</v>
      </c>
      <c r="D15" s="25">
        <f>172572.017+834.245+13669.85</f>
        <v>187076.112</v>
      </c>
      <c r="E15" s="20">
        <f t="shared" si="0"/>
        <v>49.77223329140296</v>
      </c>
      <c r="F15" s="20">
        <f>SUM(D15)/C15*100</f>
        <v>85.69795305534578</v>
      </c>
    </row>
    <row r="16" spans="1:6" s="3" customFormat="1" ht="15">
      <c r="A16" s="12" t="s">
        <v>1</v>
      </c>
      <c r="B16" s="11">
        <v>222432.052</v>
      </c>
      <c r="C16" s="11">
        <v>126570.053</v>
      </c>
      <c r="D16" s="11">
        <v>112626.061</v>
      </c>
      <c r="E16" s="20">
        <f t="shared" si="0"/>
        <v>50.63391718384184</v>
      </c>
      <c r="F16" s="20">
        <f t="shared" si="1"/>
        <v>88.98318230142482</v>
      </c>
    </row>
    <row r="17" spans="1:6" s="3" customFormat="1" ht="15">
      <c r="A17" s="12" t="s">
        <v>27</v>
      </c>
      <c r="B17" s="11">
        <v>48879.78</v>
      </c>
      <c r="C17" s="11">
        <v>27798.234</v>
      </c>
      <c r="D17" s="11">
        <v>24490.803</v>
      </c>
      <c r="E17" s="20">
        <f t="shared" si="0"/>
        <v>50.104159634106374</v>
      </c>
      <c r="F17" s="20">
        <f t="shared" si="1"/>
        <v>88.10201036511887</v>
      </c>
    </row>
    <row r="18" spans="1:6" s="3" customFormat="1" ht="15">
      <c r="A18" s="12" t="s">
        <v>4</v>
      </c>
      <c r="B18" s="11">
        <v>16661.896</v>
      </c>
      <c r="C18" s="11">
        <v>10745.269</v>
      </c>
      <c r="D18" s="11">
        <f>7555.278+469.929</f>
        <v>8025.207</v>
      </c>
      <c r="E18" s="20">
        <f t="shared" si="0"/>
        <v>48.16502875783164</v>
      </c>
      <c r="F18" s="20">
        <f t="shared" si="1"/>
        <v>74.68595714076585</v>
      </c>
    </row>
    <row r="19" spans="1:6" s="3" customFormat="1" ht="15">
      <c r="A19" s="12" t="s">
        <v>5</v>
      </c>
      <c r="B19" s="11">
        <v>6745.744</v>
      </c>
      <c r="C19" s="11">
        <v>4645.99</v>
      </c>
      <c r="D19" s="11">
        <f>2804.689+16.106</f>
        <v>2820.795</v>
      </c>
      <c r="E19" s="20">
        <f t="shared" si="0"/>
        <v>41.81592126828412</v>
      </c>
      <c r="F19" s="20">
        <f t="shared" si="1"/>
        <v>60.71461626047409</v>
      </c>
    </row>
    <row r="20" spans="1:6" s="3" customFormat="1" ht="15">
      <c r="A20" s="12" t="s">
        <v>29</v>
      </c>
      <c r="B20" s="11">
        <v>36131.055</v>
      </c>
      <c r="C20" s="11">
        <v>21171.371</v>
      </c>
      <c r="D20" s="11">
        <f>16478.651+59.933</f>
        <v>16538.584000000003</v>
      </c>
      <c r="E20" s="20">
        <f t="shared" si="0"/>
        <v>45.77387513317838</v>
      </c>
      <c r="F20" s="20">
        <f t="shared" si="1"/>
        <v>78.11768071137199</v>
      </c>
    </row>
    <row r="21" spans="1:6" s="3" customFormat="1" ht="15">
      <c r="A21" s="51" t="s">
        <v>13</v>
      </c>
      <c r="B21" s="11">
        <f>SUM(B15)-B16-B17-B18-B19-B20</f>
        <v>45013.885</v>
      </c>
      <c r="C21" s="11">
        <f>SUM(C15)-C16-C17-C18-C19-C20</f>
        <v>27366.143000000004</v>
      </c>
      <c r="D21" s="11">
        <f>SUM(D15)-D16-D17-D18-D19-D20</f>
        <v>22574.66199999999</v>
      </c>
      <c r="E21" s="20">
        <f t="shared" si="0"/>
        <v>50.15044135826088</v>
      </c>
      <c r="F21" s="20">
        <f t="shared" si="1"/>
        <v>82.49120820570143</v>
      </c>
    </row>
    <row r="22" spans="1:6" s="3" customFormat="1" ht="15">
      <c r="A22" s="52" t="s">
        <v>14</v>
      </c>
      <c r="B22" s="25">
        <f>15049.8+10</f>
        <v>15059.8</v>
      </c>
      <c r="C22" s="25">
        <f>2266.006+2797.1+3721.466</f>
        <v>8784.572</v>
      </c>
      <c r="D22" s="25">
        <f>2380.555+177.288</f>
        <v>2557.843</v>
      </c>
      <c r="E22" s="20">
        <f t="shared" si="0"/>
        <v>16.984574828350972</v>
      </c>
      <c r="F22" s="20">
        <f t="shared" si="1"/>
        <v>29.117445904023555</v>
      </c>
    </row>
    <row r="23" spans="1:6" s="2" customFormat="1" ht="28.5">
      <c r="A23" s="17" t="s">
        <v>26</v>
      </c>
      <c r="B23" s="18">
        <f>B24+B34</f>
        <v>706925.6830000001</v>
      </c>
      <c r="C23" s="18">
        <f>C24+C34</f>
        <v>453218.291</v>
      </c>
      <c r="D23" s="18">
        <f>D24+D34</f>
        <v>422757.038</v>
      </c>
      <c r="E23" s="19">
        <f t="shared" si="0"/>
        <v>59.80218970202558</v>
      </c>
      <c r="F23" s="19">
        <f t="shared" si="1"/>
        <v>93.27890034341088</v>
      </c>
    </row>
    <row r="24" spans="1:6" s="14" customFormat="1" ht="15">
      <c r="A24" s="30" t="s">
        <v>31</v>
      </c>
      <c r="B24" s="25">
        <v>702968.947</v>
      </c>
      <c r="C24" s="25">
        <v>450004.521</v>
      </c>
      <c r="D24" s="25">
        <v>422608.502</v>
      </c>
      <c r="E24" s="20">
        <f t="shared" si="0"/>
        <v>60.11766292146044</v>
      </c>
      <c r="F24" s="20">
        <f>SUM(D24)/C24*100</f>
        <v>93.91205694131237</v>
      </c>
    </row>
    <row r="25" spans="1:6" s="3" customFormat="1" ht="15">
      <c r="A25" s="12" t="s">
        <v>1</v>
      </c>
      <c r="B25" s="11">
        <f>14660.587+636.762</f>
        <v>15297.349</v>
      </c>
      <c r="C25" s="11">
        <v>8904.904</v>
      </c>
      <c r="D25" s="11">
        <v>7960.139</v>
      </c>
      <c r="E25" s="20">
        <f t="shared" si="0"/>
        <v>52.036068471733245</v>
      </c>
      <c r="F25" s="20">
        <f t="shared" si="1"/>
        <v>89.39050887016862</v>
      </c>
    </row>
    <row r="26" spans="1:6" s="3" customFormat="1" ht="15">
      <c r="A26" s="12" t="s">
        <v>27</v>
      </c>
      <c r="B26" s="11">
        <v>3353.598</v>
      </c>
      <c r="C26" s="11">
        <v>1946.364</v>
      </c>
      <c r="D26" s="11">
        <v>1730.354</v>
      </c>
      <c r="E26" s="20">
        <f t="shared" si="0"/>
        <v>51.596941553519535</v>
      </c>
      <c r="F26" s="20">
        <f t="shared" si="1"/>
        <v>88.90187035929559</v>
      </c>
    </row>
    <row r="27" spans="1:6" s="3" customFormat="1" ht="15">
      <c r="A27" s="12" t="s">
        <v>4</v>
      </c>
      <c r="B27" s="11">
        <v>72.57</v>
      </c>
      <c r="C27" s="11">
        <v>46.5</v>
      </c>
      <c r="D27" s="11">
        <v>45.799</v>
      </c>
      <c r="E27" s="20">
        <f t="shared" si="0"/>
        <v>63.11010059253136</v>
      </c>
      <c r="F27" s="20">
        <f t="shared" si="1"/>
        <v>98.49247311827956</v>
      </c>
    </row>
    <row r="28" spans="1:6" s="3" customFormat="1" ht="15">
      <c r="A28" s="12" t="s">
        <v>5</v>
      </c>
      <c r="B28" s="11">
        <v>276.527</v>
      </c>
      <c r="C28" s="11">
        <v>160.805</v>
      </c>
      <c r="D28" s="11">
        <v>141.757</v>
      </c>
      <c r="E28" s="20">
        <f t="shared" si="0"/>
        <v>51.26334860610356</v>
      </c>
      <c r="F28" s="20">
        <f t="shared" si="1"/>
        <v>88.15459718292341</v>
      </c>
    </row>
    <row r="29" spans="1:6" s="3" customFormat="1" ht="15">
      <c r="A29" s="12" t="s">
        <v>29</v>
      </c>
      <c r="B29" s="11">
        <v>1309.543</v>
      </c>
      <c r="C29" s="11">
        <v>783.897</v>
      </c>
      <c r="D29" s="11">
        <f>598.426+0.393</f>
        <v>598.8190000000001</v>
      </c>
      <c r="E29" s="20">
        <f t="shared" si="0"/>
        <v>45.72732625045532</v>
      </c>
      <c r="F29" s="20">
        <f t="shared" si="1"/>
        <v>76.39001042228763</v>
      </c>
    </row>
    <row r="30" spans="1:6" s="3" customFormat="1" ht="15">
      <c r="A30" s="12" t="s">
        <v>13</v>
      </c>
      <c r="B30" s="11">
        <f>SUM(B24)-B25-B26-B27-B28-B29</f>
        <v>682659.3600000001</v>
      </c>
      <c r="C30" s="11">
        <f>SUM(C24)-C25-C26-C27-C28-C29</f>
        <v>438162.05100000004</v>
      </c>
      <c r="D30" s="11">
        <f>SUM(D24)-D25-D26-D27-D28-D29</f>
        <v>412131.63399999996</v>
      </c>
      <c r="E30" s="20">
        <f t="shared" si="0"/>
        <v>60.37149098783321</v>
      </c>
      <c r="F30" s="20">
        <f t="shared" si="1"/>
        <v>94.0591804012712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421762.1</v>
      </c>
      <c r="D31" s="11">
        <f>SUM(D32:D33)</f>
        <v>402919.22</v>
      </c>
      <c r="E31" s="20">
        <f t="shared" si="0"/>
        <v>61.09168622599055</v>
      </c>
      <c r="F31" s="20">
        <f>SUM(D31)/C31*100</f>
        <v>95.53234394460763</v>
      </c>
    </row>
    <row r="32" spans="1:6" s="3" customFormat="1" ht="30">
      <c r="A32" s="13" t="s">
        <v>22</v>
      </c>
      <c r="B32" s="11">
        <v>425980</v>
      </c>
      <c r="C32" s="11">
        <v>258844.241</v>
      </c>
      <c r="D32" s="67">
        <v>255433.228</v>
      </c>
      <c r="E32" s="20">
        <f t="shared" si="0"/>
        <v>59.96366683881873</v>
      </c>
      <c r="F32" s="20">
        <f>SUM(D32)/C32*100</f>
        <v>98.6822140655623</v>
      </c>
    </row>
    <row r="33" spans="1:6" s="3" customFormat="1" ht="15">
      <c r="A33" s="13" t="s">
        <v>19</v>
      </c>
      <c r="B33" s="11">
        <v>233552</v>
      </c>
      <c r="C33" s="11">
        <v>162917.859</v>
      </c>
      <c r="D33" s="11">
        <v>147485.992</v>
      </c>
      <c r="E33" s="20">
        <f t="shared" si="0"/>
        <v>63.14910255531958</v>
      </c>
      <c r="F33" s="20">
        <f>SUM(D33)/C33*100</f>
        <v>90.52782359483376</v>
      </c>
    </row>
    <row r="34" spans="1:6" s="3" customFormat="1" ht="15">
      <c r="A34" s="30" t="s">
        <v>14</v>
      </c>
      <c r="B34" s="25">
        <v>3956.736</v>
      </c>
      <c r="C34" s="25">
        <f>1009.853+1345.618+858.299</f>
        <v>3213.77</v>
      </c>
      <c r="D34" s="25">
        <v>148.536</v>
      </c>
      <c r="E34" s="20">
        <f t="shared" si="0"/>
        <v>3.754003299689441</v>
      </c>
      <c r="F34" s="20">
        <f>SUM(D34)/C34*100</f>
        <v>4.621861552009012</v>
      </c>
    </row>
    <row r="35" spans="1:6" s="2" customFormat="1" ht="14.25">
      <c r="A35" s="17" t="s">
        <v>7</v>
      </c>
      <c r="B35" s="18">
        <f>B36+B41</f>
        <v>96946.568</v>
      </c>
      <c r="C35" s="18">
        <f>C36+C41</f>
        <v>60652.029</v>
      </c>
      <c r="D35" s="18">
        <f>D36+D41</f>
        <v>47480.806</v>
      </c>
      <c r="E35" s="19">
        <f t="shared" si="0"/>
        <v>48.97626288328226</v>
      </c>
      <c r="F35" s="19">
        <f>SUM(D35)/C35*100</f>
        <v>78.2839532045993</v>
      </c>
    </row>
    <row r="36" spans="1:6" s="14" customFormat="1" ht="15">
      <c r="A36" s="30" t="s">
        <v>31</v>
      </c>
      <c r="B36" s="25">
        <v>87324.4</v>
      </c>
      <c r="C36" s="25">
        <v>52504.411</v>
      </c>
      <c r="D36" s="25">
        <f>43252.757+456.595</f>
        <v>43709.352</v>
      </c>
      <c r="E36" s="20">
        <f t="shared" si="0"/>
        <v>50.05399636298675</v>
      </c>
      <c r="F36" s="20">
        <f t="shared" si="1"/>
        <v>83.2489140769525</v>
      </c>
    </row>
    <row r="37" spans="1:6" s="3" customFormat="1" ht="15">
      <c r="A37" s="12" t="s">
        <v>1</v>
      </c>
      <c r="B37" s="11">
        <v>40460.715</v>
      </c>
      <c r="C37" s="11">
        <v>24318.254</v>
      </c>
      <c r="D37" s="11">
        <f>21114.074+14.638</f>
        <v>21128.712</v>
      </c>
      <c r="E37" s="20">
        <f aca="true" t="shared" si="2" ref="E37:E68">SUM(D37)/B37*100</f>
        <v>52.22031296283321</v>
      </c>
      <c r="F37" s="20">
        <f>SUM(D37)/C37*100</f>
        <v>86.88416528587948</v>
      </c>
    </row>
    <row r="38" spans="1:6" s="3" customFormat="1" ht="15">
      <c r="A38" s="12" t="s">
        <v>27</v>
      </c>
      <c r="B38" s="11">
        <v>8901.357</v>
      </c>
      <c r="C38" s="11">
        <v>5390.799</v>
      </c>
      <c r="D38" s="11">
        <f>4670.175+3.22</f>
        <v>4673.395</v>
      </c>
      <c r="E38" s="20">
        <f t="shared" si="2"/>
        <v>52.50205109176051</v>
      </c>
      <c r="F38" s="20">
        <f t="shared" si="1"/>
        <v>86.69206549901045</v>
      </c>
    </row>
    <row r="39" spans="1:6" s="3" customFormat="1" ht="15">
      <c r="A39" s="12" t="s">
        <v>29</v>
      </c>
      <c r="B39" s="11">
        <v>6464.382</v>
      </c>
      <c r="C39" s="11">
        <v>3289.121</v>
      </c>
      <c r="D39" s="11">
        <f>3036.505+1.289</f>
        <v>3037.7940000000003</v>
      </c>
      <c r="E39" s="20">
        <f t="shared" si="2"/>
        <v>46.99279838351138</v>
      </c>
      <c r="F39" s="20">
        <f t="shared" si="1"/>
        <v>92.35883994538358</v>
      </c>
    </row>
    <row r="40" spans="1:6" s="3" customFormat="1" ht="15">
      <c r="A40" s="12" t="s">
        <v>13</v>
      </c>
      <c r="B40" s="11">
        <f>SUM(B36)-B37-B38-B39</f>
        <v>31497.945999999996</v>
      </c>
      <c r="C40" s="11">
        <f>SUM(C36)-C37-C38-C39</f>
        <v>19506.237</v>
      </c>
      <c r="D40" s="11">
        <f>SUM(D36)-D37-D38-D39</f>
        <v>14869.451</v>
      </c>
      <c r="E40" s="20">
        <f t="shared" si="2"/>
        <v>47.20768458997295</v>
      </c>
      <c r="F40" s="20">
        <f t="shared" si="1"/>
        <v>76.22921325112577</v>
      </c>
    </row>
    <row r="41" spans="1:6" s="3" customFormat="1" ht="15">
      <c r="A41" s="30" t="s">
        <v>14</v>
      </c>
      <c r="B41" s="25">
        <v>9622.168</v>
      </c>
      <c r="C41" s="25">
        <f>2367.91+4120.994+1658.714</f>
        <v>8147.6179999999995</v>
      </c>
      <c r="D41" s="25">
        <v>3771.454</v>
      </c>
      <c r="E41" s="20">
        <f t="shared" si="2"/>
        <v>39.19547029318133</v>
      </c>
      <c r="F41" s="20">
        <f t="shared" si="1"/>
        <v>46.28903809677872</v>
      </c>
    </row>
    <row r="42" spans="1:6" s="2" customFormat="1" ht="14.25">
      <c r="A42" s="17" t="s">
        <v>8</v>
      </c>
      <c r="B42" s="18">
        <f>B43+B48</f>
        <v>54881.755</v>
      </c>
      <c r="C42" s="18">
        <f>C43+C48</f>
        <v>33952.411</v>
      </c>
      <c r="D42" s="18">
        <f>D43+D48</f>
        <v>24958.338</v>
      </c>
      <c r="E42" s="19">
        <f t="shared" si="2"/>
        <v>45.47656684812649</v>
      </c>
      <c r="F42" s="19">
        <f t="shared" si="1"/>
        <v>73.50976636092206</v>
      </c>
    </row>
    <row r="43" spans="1:6" s="14" customFormat="1" ht="15">
      <c r="A43" s="30" t="s">
        <v>31</v>
      </c>
      <c r="B43" s="25">
        <v>51249.062</v>
      </c>
      <c r="C43" s="25">
        <v>30319.718</v>
      </c>
      <c r="D43" s="25">
        <f>23572.673+254.195</f>
        <v>23826.868</v>
      </c>
      <c r="E43" s="20">
        <f t="shared" si="2"/>
        <v>46.49230067859583</v>
      </c>
      <c r="F43" s="20">
        <f t="shared" si="1"/>
        <v>78.58538789839668</v>
      </c>
    </row>
    <row r="44" spans="1:6" s="3" customFormat="1" ht="15">
      <c r="A44" s="12" t="s">
        <v>1</v>
      </c>
      <c r="B44" s="11">
        <v>24685.189</v>
      </c>
      <c r="C44" s="11">
        <v>14236.144</v>
      </c>
      <c r="D44" s="11">
        <f>11288.924+119.859</f>
        <v>11408.783000000001</v>
      </c>
      <c r="E44" s="20">
        <f t="shared" si="2"/>
        <v>46.21711828902749</v>
      </c>
      <c r="F44" s="20">
        <f>SUM(D44)/C44*100</f>
        <v>80.13955885807282</v>
      </c>
    </row>
    <row r="45" spans="1:6" s="3" customFormat="1" ht="15">
      <c r="A45" s="12" t="s">
        <v>27</v>
      </c>
      <c r="B45" s="11">
        <v>5430.741</v>
      </c>
      <c r="C45" s="11">
        <v>3134.124</v>
      </c>
      <c r="D45" s="11">
        <f>2477.212+26.369</f>
        <v>2503.581</v>
      </c>
      <c r="E45" s="20">
        <f t="shared" si="2"/>
        <v>46.10017307030477</v>
      </c>
      <c r="F45" s="20">
        <f t="shared" si="1"/>
        <v>79.88136397921717</v>
      </c>
    </row>
    <row r="46" spans="1:6" s="3" customFormat="1" ht="15">
      <c r="A46" s="12" t="s">
        <v>29</v>
      </c>
      <c r="B46" s="11">
        <v>4194.121</v>
      </c>
      <c r="C46" s="11">
        <v>2053.436</v>
      </c>
      <c r="D46" s="11">
        <v>1807.096</v>
      </c>
      <c r="E46" s="20">
        <f t="shared" si="2"/>
        <v>43.08640594775401</v>
      </c>
      <c r="F46" s="20">
        <f t="shared" si="1"/>
        <v>88.00352190182697</v>
      </c>
    </row>
    <row r="47" spans="1:6" s="3" customFormat="1" ht="15">
      <c r="A47" s="12" t="s">
        <v>13</v>
      </c>
      <c r="B47" s="11">
        <f>SUM(B43)-B44-B45-B46</f>
        <v>16939.011</v>
      </c>
      <c r="C47" s="11">
        <f>SUM(C43)-C44-C45-C46</f>
        <v>10896.014000000001</v>
      </c>
      <c r="D47" s="11">
        <f>SUM(D43)-D44-D45-D46</f>
        <v>8107.407999999998</v>
      </c>
      <c r="E47" s="20">
        <f t="shared" si="2"/>
        <v>47.862345682401404</v>
      </c>
      <c r="F47" s="20">
        <f t="shared" si="1"/>
        <v>74.407099697192</v>
      </c>
    </row>
    <row r="48" spans="1:6" s="3" customFormat="1" ht="15">
      <c r="A48" s="30" t="s">
        <v>14</v>
      </c>
      <c r="B48" s="25">
        <v>3632.693</v>
      </c>
      <c r="C48" s="25">
        <f>1758.148+1820.545+54</f>
        <v>3632.693</v>
      </c>
      <c r="D48" s="25">
        <v>1131.47</v>
      </c>
      <c r="E48" s="20">
        <f t="shared" si="2"/>
        <v>31.146865424631258</v>
      </c>
      <c r="F48" s="20">
        <f t="shared" si="1"/>
        <v>31.146865424631258</v>
      </c>
    </row>
    <row r="49" spans="1:6" s="3" customFormat="1" ht="14.25">
      <c r="A49" s="17" t="s">
        <v>0</v>
      </c>
      <c r="B49" s="18">
        <f>B50+B55</f>
        <v>90568.01</v>
      </c>
      <c r="C49" s="18">
        <f>C50+C55</f>
        <v>51641.748</v>
      </c>
      <c r="D49" s="18">
        <f>D50+D55</f>
        <v>38571.506</v>
      </c>
      <c r="E49" s="19">
        <f t="shared" si="2"/>
        <v>42.58844375624462</v>
      </c>
      <c r="F49" s="19">
        <f t="shared" si="1"/>
        <v>74.69055075362671</v>
      </c>
    </row>
    <row r="50" spans="1:6" s="3" customFormat="1" ht="15">
      <c r="A50" s="30" t="s">
        <v>31</v>
      </c>
      <c r="B50" s="25">
        <v>82568.01</v>
      </c>
      <c r="C50" s="25">
        <v>46830.748</v>
      </c>
      <c r="D50" s="25">
        <v>37677.33</v>
      </c>
      <c r="E50" s="20">
        <f t="shared" si="2"/>
        <v>45.631873651793235</v>
      </c>
      <c r="F50" s="20">
        <f t="shared" si="1"/>
        <v>80.45425625061552</v>
      </c>
    </row>
    <row r="51" spans="1:6" s="3" customFormat="1" ht="15">
      <c r="A51" s="12" t="s">
        <v>1</v>
      </c>
      <c r="B51" s="11">
        <v>50916.2</v>
      </c>
      <c r="C51" s="11">
        <v>28900.481</v>
      </c>
      <c r="D51" s="11">
        <v>23928.603</v>
      </c>
      <c r="E51" s="20">
        <f t="shared" si="2"/>
        <v>46.996050372965776</v>
      </c>
      <c r="F51" s="20">
        <f>SUM(D51)/C51*100</f>
        <v>82.79655622340681</v>
      </c>
    </row>
    <row r="52" spans="1:6" s="3" customFormat="1" ht="15">
      <c r="A52" s="12" t="s">
        <v>27</v>
      </c>
      <c r="B52" s="11">
        <v>11270.743</v>
      </c>
      <c r="C52" s="11">
        <v>6394.19</v>
      </c>
      <c r="D52" s="11">
        <v>5245.461</v>
      </c>
      <c r="E52" s="20">
        <f t="shared" si="2"/>
        <v>46.540507577894374</v>
      </c>
      <c r="F52" s="20">
        <f t="shared" si="1"/>
        <v>82.03480034218565</v>
      </c>
    </row>
    <row r="53" spans="1:6" s="3" customFormat="1" ht="15">
      <c r="A53" s="12" t="s">
        <v>29</v>
      </c>
      <c r="B53" s="11">
        <v>4798.274</v>
      </c>
      <c r="C53" s="11">
        <v>2310.269</v>
      </c>
      <c r="D53" s="11">
        <v>2168.283</v>
      </c>
      <c r="E53" s="20">
        <f t="shared" si="2"/>
        <v>45.18881164352015</v>
      </c>
      <c r="F53" s="20">
        <f t="shared" si="1"/>
        <v>93.85413560065949</v>
      </c>
    </row>
    <row r="54" spans="1:6" s="3" customFormat="1" ht="15">
      <c r="A54" s="12" t="s">
        <v>13</v>
      </c>
      <c r="B54" s="11">
        <f>SUM(B50)-B51-B52-B53</f>
        <v>15582.792999999994</v>
      </c>
      <c r="C54" s="11">
        <f>SUM(C50)-C51-C52-C53</f>
        <v>9225.808</v>
      </c>
      <c r="D54" s="11">
        <f>SUM(D50)-D51-D52-D53</f>
        <v>6334.983000000004</v>
      </c>
      <c r="E54" s="20">
        <f t="shared" si="2"/>
        <v>40.65370694457666</v>
      </c>
      <c r="F54" s="20">
        <f t="shared" si="1"/>
        <v>68.66588812600483</v>
      </c>
    </row>
    <row r="55" spans="1:6" s="3" customFormat="1" ht="15">
      <c r="A55" s="30" t="s">
        <v>14</v>
      </c>
      <c r="B55" s="25">
        <v>8000</v>
      </c>
      <c r="C55" s="25">
        <f>1884.933+1247.767+1678.3</f>
        <v>4811</v>
      </c>
      <c r="D55" s="25">
        <v>894.176</v>
      </c>
      <c r="E55" s="20">
        <f t="shared" si="2"/>
        <v>11.177200000000001</v>
      </c>
      <c r="F55" s="20">
        <f t="shared" si="1"/>
        <v>18.586073581376013</v>
      </c>
    </row>
    <row r="56" spans="1:6" s="3" customFormat="1" ht="14.25" customHeight="1">
      <c r="A56" s="21" t="s">
        <v>9</v>
      </c>
      <c r="B56" s="22">
        <f>B57+B60</f>
        <v>306187.88399999996</v>
      </c>
      <c r="C56" s="22">
        <f>C57+C60</f>
        <v>172918.992</v>
      </c>
      <c r="D56" s="22">
        <f>D57+D60</f>
        <v>74249.577</v>
      </c>
      <c r="E56" s="19">
        <f t="shared" si="2"/>
        <v>24.24967834455527</v>
      </c>
      <c r="F56" s="19">
        <f t="shared" si="1"/>
        <v>42.93893697923014</v>
      </c>
    </row>
    <row r="57" spans="1:6" s="3" customFormat="1" ht="14.25" customHeight="1">
      <c r="A57" s="30" t="s">
        <v>31</v>
      </c>
      <c r="B57" s="25">
        <v>179378.042</v>
      </c>
      <c r="C57" s="25">
        <v>101686.29</v>
      </c>
      <c r="D57" s="25">
        <f>60008.976+543.817</f>
        <v>60552.793000000005</v>
      </c>
      <c r="E57" s="20">
        <f t="shared" si="2"/>
        <v>33.75708215167161</v>
      </c>
      <c r="F57" s="20">
        <f t="shared" si="1"/>
        <v>59.548630400420755</v>
      </c>
    </row>
    <row r="58" spans="1:6" s="3" customFormat="1" ht="15">
      <c r="A58" s="12" t="s">
        <v>29</v>
      </c>
      <c r="B58" s="11">
        <v>20033.7</v>
      </c>
      <c r="C58" s="11">
        <v>12225.407</v>
      </c>
      <c r="D58" s="11">
        <v>10626.753</v>
      </c>
      <c r="E58" s="20">
        <f t="shared" si="2"/>
        <v>53.0443852109196</v>
      </c>
      <c r="F58" s="20">
        <f>SUM(D58)/C58*100</f>
        <v>86.9235110127622</v>
      </c>
    </row>
    <row r="59" spans="1:6" s="3" customFormat="1" ht="15">
      <c r="A59" s="12" t="s">
        <v>13</v>
      </c>
      <c r="B59" s="11">
        <f>SUM(B57)-B58</f>
        <v>159344.34199999998</v>
      </c>
      <c r="C59" s="11">
        <f>SUM(C57)-C58</f>
        <v>89460.883</v>
      </c>
      <c r="D59" s="11">
        <f>SUM(D57)-D58</f>
        <v>49926.04000000001</v>
      </c>
      <c r="E59" s="20">
        <f t="shared" si="2"/>
        <v>31.33216992417592</v>
      </c>
      <c r="F59" s="20">
        <f t="shared" si="1"/>
        <v>55.80767630026635</v>
      </c>
    </row>
    <row r="60" spans="1:6" s="3" customFormat="1" ht="15">
      <c r="A60" s="30" t="s">
        <v>14</v>
      </c>
      <c r="B60" s="25">
        <f>2465+124344.842</f>
        <v>126809.842</v>
      </c>
      <c r="C60" s="25">
        <f>2465+850+35+8938.286+6459.516+52484.9</f>
        <v>71232.702</v>
      </c>
      <c r="D60" s="25">
        <v>13696.784</v>
      </c>
      <c r="E60" s="20">
        <f t="shared" si="2"/>
        <v>10.801041767720205</v>
      </c>
      <c r="F60" s="20">
        <f t="shared" si="1"/>
        <v>19.22822469938035</v>
      </c>
    </row>
    <row r="61" spans="1:6" s="3" customFormat="1" ht="17.25" customHeight="1">
      <c r="A61" s="21" t="s">
        <v>21</v>
      </c>
      <c r="B61" s="22">
        <f>SUM(B62)</f>
        <v>97322.069</v>
      </c>
      <c r="C61" s="22">
        <f>SUM(C62)</f>
        <v>60633.267</v>
      </c>
      <c r="D61" s="22">
        <f>SUM(D62)</f>
        <v>7737.814</v>
      </c>
      <c r="E61" s="20">
        <f t="shared" si="2"/>
        <v>7.9507290376245505</v>
      </c>
      <c r="F61" s="20">
        <f t="shared" si="1"/>
        <v>12.761664318698182</v>
      </c>
    </row>
    <row r="62" spans="1:6" s="3" customFormat="1" ht="15">
      <c r="A62" s="30" t="s">
        <v>14</v>
      </c>
      <c r="B62" s="25">
        <v>97322.069</v>
      </c>
      <c r="C62" s="25">
        <f>6846.272+9584.563+44202.432</f>
        <v>60633.267</v>
      </c>
      <c r="D62" s="25">
        <v>7737.814</v>
      </c>
      <c r="E62" s="20">
        <f t="shared" si="2"/>
        <v>7.9507290376245505</v>
      </c>
      <c r="F62" s="20">
        <f t="shared" si="1"/>
        <v>12.761664318698182</v>
      </c>
    </row>
    <row r="63" spans="1:6" s="3" customFormat="1" ht="15" customHeight="1">
      <c r="A63" s="23" t="s">
        <v>16</v>
      </c>
      <c r="B63" s="22">
        <f>SUM(B64:B65)</f>
        <v>192940.72999999998</v>
      </c>
      <c r="C63" s="22">
        <f>SUM(C64:C65)</f>
        <v>119901.891</v>
      </c>
      <c r="D63" s="22">
        <f>1832.812+718.781</f>
        <v>2551.593</v>
      </c>
      <c r="E63" s="19">
        <f t="shared" si="2"/>
        <v>1.3224750419468196</v>
      </c>
      <c r="F63" s="19">
        <f t="shared" si="1"/>
        <v>2.128067354667492</v>
      </c>
    </row>
    <row r="64" spans="1:6" s="3" customFormat="1" ht="15">
      <c r="A64" s="30" t="s">
        <v>13</v>
      </c>
      <c r="B64" s="25">
        <v>82070.117</v>
      </c>
      <c r="C64" s="25">
        <v>56431.992</v>
      </c>
      <c r="D64" s="25">
        <v>41411.298</v>
      </c>
      <c r="E64" s="20">
        <f t="shared" si="2"/>
        <v>50.458436656060826</v>
      </c>
      <c r="F64" s="20">
        <f t="shared" si="1"/>
        <v>73.38266208997194</v>
      </c>
    </row>
    <row r="65" spans="1:6" s="3" customFormat="1" ht="15">
      <c r="A65" s="30" t="s">
        <v>14</v>
      </c>
      <c r="B65" s="25">
        <v>110870.613</v>
      </c>
      <c r="C65" s="25">
        <f>12769.899+15500+35200</f>
        <v>63469.899</v>
      </c>
      <c r="D65" s="25">
        <v>17871.794</v>
      </c>
      <c r="E65" s="20">
        <f t="shared" si="2"/>
        <v>16.119504994529073</v>
      </c>
      <c r="F65" s="20">
        <f t="shared" si="1"/>
        <v>28.157905214249674</v>
      </c>
    </row>
    <row r="66" spans="1:6" s="3" customFormat="1" ht="60.75" customHeight="1">
      <c r="A66" s="24" t="s">
        <v>20</v>
      </c>
      <c r="B66" s="22">
        <f>SUM(B67:B67)</f>
        <v>6900</v>
      </c>
      <c r="C66" s="22">
        <f>SUM(C67:C67)</f>
        <v>2800</v>
      </c>
      <c r="D66" s="22">
        <f>SUM(D67:D67)</f>
        <v>1112.871</v>
      </c>
      <c r="E66" s="19">
        <f t="shared" si="2"/>
        <v>16.128565217391305</v>
      </c>
      <c r="F66" s="19">
        <f t="shared" si="1"/>
        <v>39.74539285714286</v>
      </c>
    </row>
    <row r="67" spans="1:6" s="3" customFormat="1" ht="15">
      <c r="A67" s="30" t="s">
        <v>14</v>
      </c>
      <c r="B67" s="25">
        <v>6900</v>
      </c>
      <c r="C67" s="25">
        <f>300+813+1687</f>
        <v>2800</v>
      </c>
      <c r="D67" s="25">
        <v>1112.871</v>
      </c>
      <c r="E67" s="20">
        <f t="shared" si="2"/>
        <v>16.128565217391305</v>
      </c>
      <c r="F67" s="20">
        <f t="shared" si="1"/>
        <v>39.74539285714286</v>
      </c>
    </row>
    <row r="68" spans="1:6" s="3" customFormat="1" ht="42.75">
      <c r="A68" s="23" t="s">
        <v>10</v>
      </c>
      <c r="B68" s="18">
        <f>SUM(B69)+B72</f>
        <v>9526</v>
      </c>
      <c r="C68" s="18">
        <f>SUM(C69)+C72</f>
        <v>5224.529</v>
      </c>
      <c r="D68" s="18">
        <f>SUM(D69)+D72</f>
        <v>3051.844</v>
      </c>
      <c r="E68" s="19">
        <f t="shared" si="2"/>
        <v>32.03699349149696</v>
      </c>
      <c r="F68" s="19">
        <f t="shared" si="1"/>
        <v>58.41376323109701</v>
      </c>
    </row>
    <row r="69" spans="1:6" s="3" customFormat="1" ht="15">
      <c r="A69" s="30" t="s">
        <v>31</v>
      </c>
      <c r="B69" s="25">
        <v>8800.034</v>
      </c>
      <c r="C69" s="25">
        <v>5224.529</v>
      </c>
      <c r="D69" s="25">
        <v>3051.844</v>
      </c>
      <c r="E69" s="20">
        <f aca="true" t="shared" si="3" ref="E69:E76">SUM(D69)/B69*100</f>
        <v>34.679911463978435</v>
      </c>
      <c r="F69" s="20">
        <f t="shared" si="1"/>
        <v>58.41376323109701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1.424</v>
      </c>
      <c r="E70" s="20">
        <f t="shared" si="3"/>
        <v>9.521262369617546</v>
      </c>
      <c r="F70" s="20">
        <f t="shared" si="1"/>
        <v>11.768595041322314</v>
      </c>
    </row>
    <row r="71" spans="1:6" s="3" customFormat="1" ht="15">
      <c r="A71" s="12" t="s">
        <v>13</v>
      </c>
      <c r="B71" s="11">
        <f>SUM(B69)-B70</f>
        <v>8785.078</v>
      </c>
      <c r="C71" s="11">
        <f>SUM(C69)-C70</f>
        <v>5212.429</v>
      </c>
      <c r="D71" s="11">
        <f>SUM(D69)-D70</f>
        <v>3050.42</v>
      </c>
      <c r="E71" s="19">
        <f t="shared" si="3"/>
        <v>34.72274235925965</v>
      </c>
      <c r="F71" s="19">
        <f t="shared" si="1"/>
        <v>58.52204413719592</v>
      </c>
    </row>
    <row r="72" spans="1:6" s="3" customFormat="1" ht="15">
      <c r="A72" s="30" t="s">
        <v>14</v>
      </c>
      <c r="B72" s="25">
        <v>725.966</v>
      </c>
      <c r="C72" s="25"/>
      <c r="D72" s="25"/>
      <c r="E72" s="20">
        <f t="shared" si="3"/>
        <v>0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1670</v>
      </c>
      <c r="C73" s="18">
        <v>20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22054.1</v>
      </c>
      <c r="D74" s="18">
        <v>19953.767</v>
      </c>
      <c r="E74" s="20">
        <f t="shared" si="3"/>
        <v>52.77852808768839</v>
      </c>
      <c r="F74" s="20">
        <f aca="true" t="shared" si="4" ref="F74:F90">SUM(D74)/C74*100</f>
        <v>90.4764510907269</v>
      </c>
    </row>
    <row r="75" spans="1:6" s="2" customFormat="1" ht="15">
      <c r="A75" s="17" t="s">
        <v>17</v>
      </c>
      <c r="B75" s="18">
        <f>SUM(B76)+B80</f>
        <v>16607.913</v>
      </c>
      <c r="C75" s="18">
        <f>SUM(C76)+C80</f>
        <v>11781.663</v>
      </c>
      <c r="D75" s="18">
        <f>SUM(D76)+D80</f>
        <v>1480.3839999999998</v>
      </c>
      <c r="E75" s="20">
        <f t="shared" si="3"/>
        <v>8.91372684815967</v>
      </c>
      <c r="F75" s="20">
        <f t="shared" si="4"/>
        <v>12.565153153676182</v>
      </c>
    </row>
    <row r="76" spans="1:6" s="2" customFormat="1" ht="15">
      <c r="A76" s="30" t="s">
        <v>31</v>
      </c>
      <c r="B76" s="25">
        <f>11077.904+196.033</f>
        <v>11273.937</v>
      </c>
      <c r="C76" s="25">
        <f>8484.475+523.002</f>
        <v>9007.477</v>
      </c>
      <c r="D76" s="25">
        <f>1019.382+395.269+65.733</f>
        <v>1480.3839999999998</v>
      </c>
      <c r="E76" s="19">
        <f t="shared" si="3"/>
        <v>13.131029559593955</v>
      </c>
      <c r="F76" s="20">
        <f t="shared" si="4"/>
        <v>16.435057230787265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11273.937</v>
      </c>
      <c r="C79" s="11">
        <f>SUM(C76)-C77-C78</f>
        <v>9007.477</v>
      </c>
      <c r="D79" s="11">
        <f>SUM(D76)-D77-D78</f>
        <v>1480.3839999999998</v>
      </c>
      <c r="E79" s="20">
        <f aca="true" t="shared" si="5" ref="E79:E90">SUM(D79)/B79*100</f>
        <v>13.131029559593955</v>
      </c>
      <c r="F79" s="20">
        <f>SUM(D79)/C79*100</f>
        <v>16.435057230787265</v>
      </c>
    </row>
    <row r="80" spans="1:6" s="3" customFormat="1" ht="15">
      <c r="A80" s="30" t="s">
        <v>14</v>
      </c>
      <c r="B80" s="25">
        <v>5333.976</v>
      </c>
      <c r="C80" s="25">
        <f>2454.186+320</f>
        <v>2774.186</v>
      </c>
      <c r="D80" s="25"/>
      <c r="E80" s="20">
        <f t="shared" si="5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f>15000+775.5-705.5</f>
        <v>15070</v>
      </c>
      <c r="C81" s="18">
        <f>15000+42.1</f>
        <v>15042.1</v>
      </c>
      <c r="D81" s="18">
        <v>8000</v>
      </c>
      <c r="E81" s="20">
        <f t="shared" si="5"/>
        <v>53.085600530856006</v>
      </c>
      <c r="F81" s="20">
        <f t="shared" si="4"/>
        <v>53.18406339540357</v>
      </c>
    </row>
    <row r="82" spans="1:12" s="9" customFormat="1" ht="15.75">
      <c r="A82" s="27" t="s">
        <v>25</v>
      </c>
      <c r="B82" s="28">
        <f>B5+B14+B23+B35+B42+B49+B56+B61+B63+B66+B68+B73+B74+B75+B81</f>
        <v>2750657.602</v>
      </c>
      <c r="C82" s="28">
        <f>C5+C14+C23+C35+C42+C49+C56+C61+C63+C66+C68+C73+C74+C75+C81</f>
        <v>1705220.7990000003</v>
      </c>
      <c r="D82" s="28">
        <f>D5+D14+D23+D35+D42+D49+D56+D61+D63+D66+D68+D73+D74+D75+D81</f>
        <v>1216222.9640000004</v>
      </c>
      <c r="E82" s="20">
        <f t="shared" si="5"/>
        <v>44.215716384172495</v>
      </c>
      <c r="F82" s="20">
        <f t="shared" si="4"/>
        <v>71.32348870675487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2308209.08</v>
      </c>
      <c r="C83" s="28">
        <f>C6+C15+C24+C36+C43+C50+C57+C64+C69+C76+C74</f>
        <v>1436090.9360000005</v>
      </c>
      <c r="D83" s="28">
        <f>D6+D15+D24+D36+D43+D50+D57+D64+D69+D76+D74</f>
        <v>1208342.28</v>
      </c>
      <c r="E83" s="20">
        <f t="shared" si="5"/>
        <v>52.34977587039039</v>
      </c>
      <c r="F83" s="20">
        <f t="shared" si="4"/>
        <v>84.14107001925953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756478.678</v>
      </c>
      <c r="C84" s="22">
        <f t="shared" si="6"/>
        <v>458465.1020000001</v>
      </c>
      <c r="D84" s="22">
        <f t="shared" si="6"/>
        <v>405502.68200000003</v>
      </c>
      <c r="E84" s="19">
        <f t="shared" si="5"/>
        <v>53.60398036228591</v>
      </c>
      <c r="F84" s="19">
        <f t="shared" si="4"/>
        <v>88.44788408780565</v>
      </c>
    </row>
    <row r="85" spans="1:6" ht="15">
      <c r="A85" s="29" t="s">
        <v>28</v>
      </c>
      <c r="B85" s="22">
        <f t="shared" si="6"/>
        <v>166259.443</v>
      </c>
      <c r="C85" s="22">
        <f t="shared" si="6"/>
        <v>101124.344</v>
      </c>
      <c r="D85" s="22">
        <f t="shared" si="6"/>
        <v>89286.21100000001</v>
      </c>
      <c r="E85" s="19">
        <f t="shared" si="5"/>
        <v>53.702941251884276</v>
      </c>
      <c r="F85" s="19">
        <f t="shared" si="4"/>
        <v>88.2934884601081</v>
      </c>
    </row>
    <row r="86" spans="1:6" ht="15">
      <c r="A86" s="29" t="s">
        <v>2</v>
      </c>
      <c r="B86" s="22">
        <f>B70+B11+B20+B29+B39+B46+B53+B58</f>
        <v>165680.90200000006</v>
      </c>
      <c r="C86" s="22">
        <f>C70+C11+C20+C29+C39+C46+C53+C58</f>
        <v>105131.86300000001</v>
      </c>
      <c r="D86" s="22">
        <f>D70+D11+D20+D29+D39+D46+D53+D58</f>
        <v>78435.361</v>
      </c>
      <c r="E86" s="19">
        <f t="shared" si="5"/>
        <v>47.341220414166976</v>
      </c>
      <c r="F86" s="19">
        <f>SUM(D86)/C86*100</f>
        <v>74.60664993637562</v>
      </c>
    </row>
    <row r="87" spans="1:6" ht="15">
      <c r="A87" s="29" t="s">
        <v>13</v>
      </c>
      <c r="B87" s="22">
        <f>B83-B84-B85-B86</f>
        <v>1219790.0570000003</v>
      </c>
      <c r="C87" s="22">
        <f>C83-C84-C85-C86</f>
        <v>771369.6270000003</v>
      </c>
      <c r="D87" s="22">
        <f>D83-D84-D85-D86</f>
        <v>635118.026</v>
      </c>
      <c r="E87" s="19">
        <f t="shared" si="5"/>
        <v>52.06781465017302</v>
      </c>
      <c r="F87" s="19">
        <f t="shared" si="4"/>
        <v>82.33640576050315</v>
      </c>
    </row>
    <row r="88" spans="1:6" ht="20.25" customHeight="1">
      <c r="A88" s="17" t="s">
        <v>14</v>
      </c>
      <c r="B88" s="18">
        <f>B13+B22+B41+B34+B55+B60+B62+B65+B67+B72+B80+B48</f>
        <v>425708.5220000001</v>
      </c>
      <c r="C88" s="18">
        <f>C13+C22+C41+C34+C55+C60+C62+C65+C67+C72+C80+C48</f>
        <v>254067.76299999998</v>
      </c>
      <c r="D88" s="18">
        <f>D13+D22+D41+D34+D55+D60+D62+D65+D67+D72+D80+D48</f>
        <v>56612.183</v>
      </c>
      <c r="E88" s="19">
        <f t="shared" si="5"/>
        <v>13.298343837241761</v>
      </c>
      <c r="F88" s="19">
        <f t="shared" si="4"/>
        <v>22.282316470035596</v>
      </c>
    </row>
    <row r="89" spans="1:6" ht="15">
      <c r="A89" s="17" t="s">
        <v>24</v>
      </c>
      <c r="B89" s="18">
        <f>SUM(B81)</f>
        <v>15070</v>
      </c>
      <c r="C89" s="18">
        <f>SUM(C81)</f>
        <v>15042.1</v>
      </c>
      <c r="D89" s="18">
        <f>SUM(D81)</f>
        <v>8000</v>
      </c>
      <c r="E89" s="19">
        <f t="shared" si="5"/>
        <v>53.085600530856006</v>
      </c>
      <c r="F89" s="19">
        <f t="shared" si="4"/>
        <v>53.18406339540357</v>
      </c>
    </row>
    <row r="90" spans="1:6" ht="15">
      <c r="A90" s="17" t="s">
        <v>30</v>
      </c>
      <c r="B90" s="18">
        <f>SUM(B73)</f>
        <v>1670</v>
      </c>
      <c r="C90" s="18">
        <f>SUM(C73)</f>
        <v>20</v>
      </c>
      <c r="D90" s="18"/>
      <c r="E90" s="19">
        <f t="shared" si="5"/>
        <v>0</v>
      </c>
      <c r="F90" s="19">
        <f t="shared" si="4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B5" sqref="B5:D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3" t="s">
        <v>72</v>
      </c>
      <c r="B1" s="73"/>
      <c r="C1" s="73"/>
      <c r="D1" s="73"/>
      <c r="E1" s="73"/>
      <c r="F1" s="73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4"/>
      <c r="B3" s="71" t="s">
        <v>66</v>
      </c>
      <c r="C3" s="71" t="s">
        <v>69</v>
      </c>
      <c r="D3" s="71" t="s">
        <v>74</v>
      </c>
      <c r="E3" s="71" t="s">
        <v>67</v>
      </c>
      <c r="F3" s="71" t="s">
        <v>68</v>
      </c>
    </row>
    <row r="4" spans="1:6" s="31" customFormat="1" ht="114" customHeight="1">
      <c r="A4" s="75"/>
      <c r="B4" s="72"/>
      <c r="C4" s="72"/>
      <c r="D4" s="72"/>
      <c r="E4" s="72"/>
      <c r="F4" s="72"/>
    </row>
    <row r="5" spans="1:6" s="35" customFormat="1" ht="14.25">
      <c r="A5" s="34" t="s">
        <v>33</v>
      </c>
      <c r="B5" s="18">
        <f>B6+B13</f>
        <v>726380.178</v>
      </c>
      <c r="C5" s="18">
        <f>C6+C13</f>
        <v>468298.146</v>
      </c>
      <c r="D5" s="18">
        <f>D6+D13</f>
        <v>374683.47099999996</v>
      </c>
      <c r="E5" s="19">
        <f aca="true" t="shared" si="0" ref="E5:E68">SUM(D5)/B5*100</f>
        <v>51.582281888754956</v>
      </c>
      <c r="F5" s="19">
        <f>SUM(D5)/C5*100</f>
        <v>80.00959948280469</v>
      </c>
    </row>
    <row r="6" spans="1:6" s="37" customFormat="1" ht="15">
      <c r="A6" s="36" t="s">
        <v>34</v>
      </c>
      <c r="B6" s="25">
        <v>688905.519</v>
      </c>
      <c r="C6" s="25">
        <v>443730.09</v>
      </c>
      <c r="D6" s="25">
        <f>366864.855+129.175</f>
        <v>366994.02999999997</v>
      </c>
      <c r="E6" s="20">
        <f t="shared" si="0"/>
        <v>53.272040922639206</v>
      </c>
      <c r="F6" s="20">
        <f>SUM(D6)/C6*100</f>
        <v>82.70659084670142</v>
      </c>
    </row>
    <row r="7" spans="1:6" s="37" customFormat="1" ht="15">
      <c r="A7" s="38" t="s">
        <v>35</v>
      </c>
      <c r="B7" s="11">
        <v>402687.173</v>
      </c>
      <c r="C7" s="11">
        <v>255535.266</v>
      </c>
      <c r="D7" s="11">
        <v>228450.384</v>
      </c>
      <c r="E7" s="20">
        <f t="shared" si="0"/>
        <v>56.73147776177117</v>
      </c>
      <c r="F7" s="20">
        <f aca="true" t="shared" si="1" ref="F7:F73">SUM(D7)/C7*100</f>
        <v>89.40072639523657</v>
      </c>
    </row>
    <row r="8" spans="1:6" s="37" customFormat="1" ht="15">
      <c r="A8" s="38" t="s">
        <v>36</v>
      </c>
      <c r="B8" s="11">
        <v>88423.224</v>
      </c>
      <c r="C8" s="11">
        <v>56460.633</v>
      </c>
      <c r="D8" s="11">
        <v>50642.617</v>
      </c>
      <c r="E8" s="20">
        <f t="shared" si="0"/>
        <v>57.27298181301328</v>
      </c>
      <c r="F8" s="20">
        <f t="shared" si="1"/>
        <v>89.69544673719828</v>
      </c>
    </row>
    <row r="9" spans="1:6" s="37" customFormat="1" ht="15">
      <c r="A9" s="38" t="s">
        <v>37</v>
      </c>
      <c r="B9" s="11">
        <v>153.271</v>
      </c>
      <c r="C9" s="11">
        <v>69.715</v>
      </c>
      <c r="D9" s="11">
        <v>14.203</v>
      </c>
      <c r="E9" s="20">
        <f t="shared" si="0"/>
        <v>9.26659315852314</v>
      </c>
      <c r="F9" s="20"/>
    </row>
    <row r="10" spans="1:6" s="37" customFormat="1" ht="15">
      <c r="A10" s="38" t="s">
        <v>38</v>
      </c>
      <c r="B10" s="11">
        <v>47825.907</v>
      </c>
      <c r="C10" s="11">
        <v>24743.565</v>
      </c>
      <c r="D10" s="11">
        <f>20179.678+15.193</f>
        <v>20194.871</v>
      </c>
      <c r="E10" s="20">
        <f t="shared" si="0"/>
        <v>42.22579824779904</v>
      </c>
      <c r="F10" s="20">
        <f t="shared" si="1"/>
        <v>81.61665871510431</v>
      </c>
    </row>
    <row r="11" spans="1:6" s="37" customFormat="1" ht="30">
      <c r="A11" s="38" t="s">
        <v>39</v>
      </c>
      <c r="B11" s="11">
        <v>92734.871</v>
      </c>
      <c r="C11" s="11">
        <v>63286.262</v>
      </c>
      <c r="D11" s="11">
        <f>43648.303+8.305</f>
        <v>43656.608</v>
      </c>
      <c r="E11" s="20">
        <f t="shared" si="0"/>
        <v>47.07679811189903</v>
      </c>
      <c r="F11" s="20">
        <f t="shared" si="1"/>
        <v>68.98275647880736</v>
      </c>
    </row>
    <row r="12" spans="1:6" s="37" customFormat="1" ht="15">
      <c r="A12" s="38" t="s">
        <v>40</v>
      </c>
      <c r="B12" s="11">
        <f>SUM(B6)-B7-B8-B9-B10-B11</f>
        <v>57081.07299999996</v>
      </c>
      <c r="C12" s="11">
        <f>SUM(C6)-C7-C8-C9-C10-C11</f>
        <v>43634.64900000002</v>
      </c>
      <c r="D12" s="11">
        <f>SUM(D6)-D7-D8-D9-D10-D11</f>
        <v>24035.346999999987</v>
      </c>
      <c r="E12" s="20">
        <f t="shared" si="0"/>
        <v>42.1073847017557</v>
      </c>
      <c r="F12" s="20">
        <f t="shared" si="1"/>
        <v>55.08316796589787</v>
      </c>
    </row>
    <row r="13" spans="1:6" s="37" customFormat="1" ht="15">
      <c r="A13" s="36" t="s">
        <v>41</v>
      </c>
      <c r="B13" s="25">
        <f>36724.789+749.87</f>
        <v>37474.659</v>
      </c>
      <c r="C13" s="25">
        <v>24568.056</v>
      </c>
      <c r="D13" s="25">
        <v>7689.441</v>
      </c>
      <c r="E13" s="20">
        <f t="shared" si="0"/>
        <v>20.519041947786636</v>
      </c>
      <c r="F13" s="20">
        <f t="shared" si="1"/>
        <v>31.298532533465405</v>
      </c>
    </row>
    <row r="14" spans="1:6" s="35" customFormat="1" ht="14.25">
      <c r="A14" s="34" t="s">
        <v>42</v>
      </c>
      <c r="B14" s="18">
        <f>B15+B22</f>
        <v>390924.212</v>
      </c>
      <c r="C14" s="18">
        <f>C15+C22</f>
        <v>227081.63199999998</v>
      </c>
      <c r="D14" s="18">
        <f>D15+D22</f>
        <v>189633.955</v>
      </c>
      <c r="E14" s="19">
        <f t="shared" si="0"/>
        <v>48.50913532058229</v>
      </c>
      <c r="F14" s="19">
        <f t="shared" si="1"/>
        <v>83.50915630199451</v>
      </c>
    </row>
    <row r="15" spans="1:6" s="37" customFormat="1" ht="15">
      <c r="A15" s="36" t="s">
        <v>43</v>
      </c>
      <c r="B15" s="25">
        <f>350593.412+25271</f>
        <v>375864.412</v>
      </c>
      <c r="C15" s="25">
        <f>203572.56+14724.5</f>
        <v>218297.06</v>
      </c>
      <c r="D15" s="25">
        <f>172572.017+834.245+13669.85</f>
        <v>187076.112</v>
      </c>
      <c r="E15" s="20">
        <f t="shared" si="0"/>
        <v>49.77223329140296</v>
      </c>
      <c r="F15" s="20">
        <f>SUM(D15)/C15*100</f>
        <v>85.69795305534578</v>
      </c>
    </row>
    <row r="16" spans="1:6" s="37" customFormat="1" ht="15">
      <c r="A16" s="38" t="s">
        <v>35</v>
      </c>
      <c r="B16" s="11">
        <v>222432.052</v>
      </c>
      <c r="C16" s="11">
        <v>126570.053</v>
      </c>
      <c r="D16" s="11">
        <v>112626.061</v>
      </c>
      <c r="E16" s="20">
        <f t="shared" si="0"/>
        <v>50.63391718384184</v>
      </c>
      <c r="F16" s="20">
        <f t="shared" si="1"/>
        <v>88.98318230142482</v>
      </c>
    </row>
    <row r="17" spans="1:6" s="37" customFormat="1" ht="15">
      <c r="A17" s="38" t="s">
        <v>36</v>
      </c>
      <c r="B17" s="11">
        <v>48879.78</v>
      </c>
      <c r="C17" s="11">
        <v>27798.234</v>
      </c>
      <c r="D17" s="11">
        <v>24490.803</v>
      </c>
      <c r="E17" s="20">
        <f t="shared" si="0"/>
        <v>50.104159634106374</v>
      </c>
      <c r="F17" s="20">
        <f t="shared" si="1"/>
        <v>88.10201036511887</v>
      </c>
    </row>
    <row r="18" spans="1:6" s="37" customFormat="1" ht="15">
      <c r="A18" s="38" t="s">
        <v>37</v>
      </c>
      <c r="B18" s="11">
        <v>16661.896</v>
      </c>
      <c r="C18" s="11">
        <v>10745.269</v>
      </c>
      <c r="D18" s="11">
        <f>7555.278+469.929</f>
        <v>8025.207</v>
      </c>
      <c r="E18" s="20">
        <f t="shared" si="0"/>
        <v>48.16502875783164</v>
      </c>
      <c r="F18" s="20">
        <f t="shared" si="1"/>
        <v>74.68595714076585</v>
      </c>
    </row>
    <row r="19" spans="1:6" s="37" customFormat="1" ht="15">
      <c r="A19" s="38" t="s">
        <v>38</v>
      </c>
      <c r="B19" s="11">
        <v>6745.744</v>
      </c>
      <c r="C19" s="11">
        <v>4645.99</v>
      </c>
      <c r="D19" s="11">
        <f>2804.689+16.106</f>
        <v>2820.795</v>
      </c>
      <c r="E19" s="20">
        <f t="shared" si="0"/>
        <v>41.81592126828412</v>
      </c>
      <c r="F19" s="20">
        <f t="shared" si="1"/>
        <v>60.71461626047409</v>
      </c>
    </row>
    <row r="20" spans="1:6" s="37" customFormat="1" ht="30">
      <c r="A20" s="38" t="s">
        <v>39</v>
      </c>
      <c r="B20" s="11">
        <v>36131.055</v>
      </c>
      <c r="C20" s="11">
        <v>21171.371</v>
      </c>
      <c r="D20" s="11">
        <f>16478.651+59.933</f>
        <v>16538.584000000003</v>
      </c>
      <c r="E20" s="20">
        <f t="shared" si="0"/>
        <v>45.77387513317838</v>
      </c>
      <c r="F20" s="20">
        <f t="shared" si="1"/>
        <v>78.11768071137199</v>
      </c>
    </row>
    <row r="21" spans="1:6" s="37" customFormat="1" ht="15">
      <c r="A21" s="38" t="s">
        <v>40</v>
      </c>
      <c r="B21" s="11">
        <f>SUM(B15)-B16-B17-B18-B19-B20</f>
        <v>45013.885</v>
      </c>
      <c r="C21" s="11">
        <f>SUM(C15)-C16-C17-C18-C19-C20</f>
        <v>27366.143000000004</v>
      </c>
      <c r="D21" s="11">
        <f>SUM(D15)-D16-D17-D18-D19-D20</f>
        <v>22574.66199999999</v>
      </c>
      <c r="E21" s="20">
        <f t="shared" si="0"/>
        <v>50.15044135826088</v>
      </c>
      <c r="F21" s="20">
        <f t="shared" si="1"/>
        <v>82.49120820570143</v>
      </c>
    </row>
    <row r="22" spans="1:6" s="37" customFormat="1" ht="15">
      <c r="A22" s="36" t="s">
        <v>41</v>
      </c>
      <c r="B22" s="25">
        <f>15049.8+10</f>
        <v>15059.8</v>
      </c>
      <c r="C22" s="25">
        <f>2266.006+2797.1+3721.466</f>
        <v>8784.572</v>
      </c>
      <c r="D22" s="25">
        <f>2380.555+177.288</f>
        <v>2557.843</v>
      </c>
      <c r="E22" s="20">
        <f t="shared" si="0"/>
        <v>16.984574828350972</v>
      </c>
      <c r="F22" s="20">
        <f t="shared" si="1"/>
        <v>29.117445904023555</v>
      </c>
    </row>
    <row r="23" spans="1:6" s="35" customFormat="1" ht="28.5">
      <c r="A23" s="34" t="s">
        <v>59</v>
      </c>
      <c r="B23" s="18">
        <f>B24+B34</f>
        <v>706925.6830000001</v>
      </c>
      <c r="C23" s="18">
        <f>C24+C34</f>
        <v>453218.291</v>
      </c>
      <c r="D23" s="18">
        <f>D24+D34</f>
        <v>422757.038</v>
      </c>
      <c r="E23" s="19">
        <f t="shared" si="0"/>
        <v>59.80218970202558</v>
      </c>
      <c r="F23" s="19">
        <f t="shared" si="1"/>
        <v>93.27890034341088</v>
      </c>
    </row>
    <row r="24" spans="1:6" s="37" customFormat="1" ht="15">
      <c r="A24" s="36" t="s">
        <v>43</v>
      </c>
      <c r="B24" s="25">
        <v>702968.947</v>
      </c>
      <c r="C24" s="25">
        <v>450004.521</v>
      </c>
      <c r="D24" s="25">
        <v>422608.502</v>
      </c>
      <c r="E24" s="20">
        <f t="shared" si="0"/>
        <v>60.11766292146044</v>
      </c>
      <c r="F24" s="20">
        <f>SUM(D24)/C24*100</f>
        <v>93.91205694131237</v>
      </c>
    </row>
    <row r="25" spans="1:6" s="37" customFormat="1" ht="15">
      <c r="A25" s="38" t="s">
        <v>35</v>
      </c>
      <c r="B25" s="11">
        <f>14660.587+636.762</f>
        <v>15297.349</v>
      </c>
      <c r="C25" s="11">
        <v>8904.904</v>
      </c>
      <c r="D25" s="11">
        <v>7960.139</v>
      </c>
      <c r="E25" s="20">
        <f t="shared" si="0"/>
        <v>52.036068471733245</v>
      </c>
      <c r="F25" s="20">
        <f t="shared" si="1"/>
        <v>89.39050887016862</v>
      </c>
    </row>
    <row r="26" spans="1:6" s="37" customFormat="1" ht="15">
      <c r="A26" s="38" t="s">
        <v>36</v>
      </c>
      <c r="B26" s="11">
        <v>3353.598</v>
      </c>
      <c r="C26" s="11">
        <v>1946.364</v>
      </c>
      <c r="D26" s="11">
        <v>1730.354</v>
      </c>
      <c r="E26" s="20">
        <f t="shared" si="0"/>
        <v>51.596941553519535</v>
      </c>
      <c r="F26" s="20">
        <f t="shared" si="1"/>
        <v>88.90187035929559</v>
      </c>
    </row>
    <row r="27" spans="1:6" s="37" customFormat="1" ht="15">
      <c r="A27" s="38" t="s">
        <v>37</v>
      </c>
      <c r="B27" s="11">
        <v>72.57</v>
      </c>
      <c r="C27" s="11">
        <v>46.5</v>
      </c>
      <c r="D27" s="11">
        <v>45.799</v>
      </c>
      <c r="E27" s="20">
        <f t="shared" si="0"/>
        <v>63.11010059253136</v>
      </c>
      <c r="F27" s="20">
        <f t="shared" si="1"/>
        <v>98.49247311827956</v>
      </c>
    </row>
    <row r="28" spans="1:6" s="37" customFormat="1" ht="15">
      <c r="A28" s="38" t="s">
        <v>38</v>
      </c>
      <c r="B28" s="11">
        <v>276.527</v>
      </c>
      <c r="C28" s="11">
        <v>160.805</v>
      </c>
      <c r="D28" s="11">
        <v>141.757</v>
      </c>
      <c r="E28" s="20">
        <f t="shared" si="0"/>
        <v>51.26334860610356</v>
      </c>
      <c r="F28" s="20">
        <f t="shared" si="1"/>
        <v>88.15459718292341</v>
      </c>
    </row>
    <row r="29" spans="1:6" s="37" customFormat="1" ht="30">
      <c r="A29" s="38" t="s">
        <v>39</v>
      </c>
      <c r="B29" s="11">
        <v>1309.543</v>
      </c>
      <c r="C29" s="11">
        <v>783.897</v>
      </c>
      <c r="D29" s="11">
        <f>598.426+0.393</f>
        <v>598.8190000000001</v>
      </c>
      <c r="E29" s="20">
        <f t="shared" si="0"/>
        <v>45.72732625045532</v>
      </c>
      <c r="F29" s="20">
        <f t="shared" si="1"/>
        <v>76.39001042228763</v>
      </c>
    </row>
    <row r="30" spans="1:6" s="37" customFormat="1" ht="15">
      <c r="A30" s="38" t="s">
        <v>40</v>
      </c>
      <c r="B30" s="11">
        <f>SUM(B24)-B25-B26-B27-B28-B29</f>
        <v>682659.3600000001</v>
      </c>
      <c r="C30" s="11">
        <f>SUM(C24)-C25-C26-C27-C28-C29</f>
        <v>438162.05100000004</v>
      </c>
      <c r="D30" s="11">
        <f>SUM(D24)-D25-D26-D27-D28-D29</f>
        <v>412131.63399999996</v>
      </c>
      <c r="E30" s="20">
        <f t="shared" si="0"/>
        <v>60.37149098783321</v>
      </c>
      <c r="F30" s="20">
        <f t="shared" si="1"/>
        <v>94.0591804012712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421762.1</v>
      </c>
      <c r="D31" s="11">
        <f>SUM(D32:D33)</f>
        <v>402919.22</v>
      </c>
      <c r="E31" s="20">
        <f t="shared" si="0"/>
        <v>61.09168622599055</v>
      </c>
      <c r="F31" s="20">
        <f>SUM(D31)/C31*100</f>
        <v>95.53234394460763</v>
      </c>
    </row>
    <row r="32" spans="1:6" s="37" customFormat="1" ht="30">
      <c r="A32" s="39" t="s">
        <v>63</v>
      </c>
      <c r="B32" s="11">
        <v>425980</v>
      </c>
      <c r="C32" s="11">
        <v>258844.241</v>
      </c>
      <c r="D32" s="67">
        <v>255433.228</v>
      </c>
      <c r="E32" s="20">
        <f t="shared" si="0"/>
        <v>59.96366683881873</v>
      </c>
      <c r="F32" s="20">
        <f>SUM(D32)/C32*100</f>
        <v>98.6822140655623</v>
      </c>
    </row>
    <row r="33" spans="1:6" s="37" customFormat="1" ht="15">
      <c r="A33" s="39" t="s">
        <v>60</v>
      </c>
      <c r="B33" s="11">
        <v>233552</v>
      </c>
      <c r="C33" s="11">
        <v>162917.859</v>
      </c>
      <c r="D33" s="11">
        <v>147485.992</v>
      </c>
      <c r="E33" s="20">
        <f t="shared" si="0"/>
        <v>63.14910255531958</v>
      </c>
      <c r="F33" s="20">
        <f>SUM(D33)/C33*100</f>
        <v>90.52782359483376</v>
      </c>
    </row>
    <row r="34" spans="1:6" s="37" customFormat="1" ht="15">
      <c r="A34" s="36" t="s">
        <v>41</v>
      </c>
      <c r="B34" s="25">
        <v>3956.736</v>
      </c>
      <c r="C34" s="25">
        <f>1009.853+1345.618+858.299</f>
        <v>3213.77</v>
      </c>
      <c r="D34" s="25">
        <v>148.536</v>
      </c>
      <c r="E34" s="20">
        <f t="shared" si="0"/>
        <v>3.754003299689441</v>
      </c>
      <c r="F34" s="20">
        <f>SUM(D34)/C34*100</f>
        <v>4.621861552009012</v>
      </c>
    </row>
    <row r="35" spans="1:6" s="35" customFormat="1" ht="14.25">
      <c r="A35" s="34" t="s">
        <v>61</v>
      </c>
      <c r="B35" s="18">
        <f>B36+B41</f>
        <v>96946.568</v>
      </c>
      <c r="C35" s="18">
        <f>C36+C41</f>
        <v>60652.029</v>
      </c>
      <c r="D35" s="18">
        <f>D36+D41</f>
        <v>47480.806</v>
      </c>
      <c r="E35" s="19">
        <f t="shared" si="0"/>
        <v>48.97626288328226</v>
      </c>
      <c r="F35" s="19">
        <f>SUM(D35)/C35*100</f>
        <v>78.2839532045993</v>
      </c>
    </row>
    <row r="36" spans="1:6" s="37" customFormat="1" ht="15">
      <c r="A36" s="36" t="s">
        <v>43</v>
      </c>
      <c r="B36" s="25">
        <v>87324.4</v>
      </c>
      <c r="C36" s="25">
        <v>52504.411</v>
      </c>
      <c r="D36" s="25">
        <f>43252.757+456.595</f>
        <v>43709.352</v>
      </c>
      <c r="E36" s="20">
        <f t="shared" si="0"/>
        <v>50.05399636298675</v>
      </c>
      <c r="F36" s="20">
        <f t="shared" si="1"/>
        <v>83.2489140769525</v>
      </c>
    </row>
    <row r="37" spans="1:6" s="37" customFormat="1" ht="15">
      <c r="A37" s="38" t="s">
        <v>35</v>
      </c>
      <c r="B37" s="11">
        <v>40460.715</v>
      </c>
      <c r="C37" s="11">
        <v>24318.254</v>
      </c>
      <c r="D37" s="11">
        <f>21114.074+14.638</f>
        <v>21128.712</v>
      </c>
      <c r="E37" s="20">
        <f t="shared" si="0"/>
        <v>52.22031296283321</v>
      </c>
      <c r="F37" s="20">
        <f>SUM(D37)/C37*100</f>
        <v>86.88416528587948</v>
      </c>
    </row>
    <row r="38" spans="1:6" s="37" customFormat="1" ht="15">
      <c r="A38" s="38" t="s">
        <v>36</v>
      </c>
      <c r="B38" s="11">
        <v>8901.357</v>
      </c>
      <c r="C38" s="11">
        <v>5390.799</v>
      </c>
      <c r="D38" s="11">
        <f>4670.175+3.22</f>
        <v>4673.395</v>
      </c>
      <c r="E38" s="20">
        <f t="shared" si="0"/>
        <v>52.50205109176051</v>
      </c>
      <c r="F38" s="20">
        <f t="shared" si="1"/>
        <v>86.69206549901045</v>
      </c>
    </row>
    <row r="39" spans="1:6" s="37" customFormat="1" ht="30">
      <c r="A39" s="38" t="s">
        <v>39</v>
      </c>
      <c r="B39" s="11">
        <v>6464.382</v>
      </c>
      <c r="C39" s="11">
        <v>3289.121</v>
      </c>
      <c r="D39" s="11">
        <f>3036.505+1.289</f>
        <v>3037.7940000000003</v>
      </c>
      <c r="E39" s="20">
        <f t="shared" si="0"/>
        <v>46.99279838351138</v>
      </c>
      <c r="F39" s="20">
        <f t="shared" si="1"/>
        <v>92.35883994538358</v>
      </c>
    </row>
    <row r="40" spans="1:6" s="37" customFormat="1" ht="15">
      <c r="A40" s="38" t="s">
        <v>40</v>
      </c>
      <c r="B40" s="11">
        <f>SUM(B36)-B37-B38-B39</f>
        <v>31497.945999999996</v>
      </c>
      <c r="C40" s="11">
        <f>SUM(C36)-C37-C38-C39</f>
        <v>19506.237</v>
      </c>
      <c r="D40" s="11">
        <f>SUM(D36)-D37-D38-D39</f>
        <v>14869.451</v>
      </c>
      <c r="E40" s="20">
        <f t="shared" si="0"/>
        <v>47.20768458997295</v>
      </c>
      <c r="F40" s="20">
        <f t="shared" si="1"/>
        <v>76.22921325112577</v>
      </c>
    </row>
    <row r="41" spans="1:6" s="37" customFormat="1" ht="15">
      <c r="A41" s="36" t="s">
        <v>41</v>
      </c>
      <c r="B41" s="25">
        <v>9622.168</v>
      </c>
      <c r="C41" s="25">
        <f>2367.91+4120.994+1658.714</f>
        <v>8147.6179999999995</v>
      </c>
      <c r="D41" s="25">
        <v>3771.454</v>
      </c>
      <c r="E41" s="20">
        <f t="shared" si="0"/>
        <v>39.19547029318133</v>
      </c>
      <c r="F41" s="20">
        <f t="shared" si="1"/>
        <v>46.28903809677872</v>
      </c>
    </row>
    <row r="42" spans="1:6" s="35" customFormat="1" ht="14.25">
      <c r="A42" s="34" t="s">
        <v>62</v>
      </c>
      <c r="B42" s="18">
        <f>B43+B48</f>
        <v>54881.755</v>
      </c>
      <c r="C42" s="18">
        <f>C43+C48</f>
        <v>33952.411</v>
      </c>
      <c r="D42" s="18">
        <f>D43+D48</f>
        <v>24958.338</v>
      </c>
      <c r="E42" s="19">
        <f t="shared" si="0"/>
        <v>45.47656684812649</v>
      </c>
      <c r="F42" s="19">
        <f t="shared" si="1"/>
        <v>73.50976636092206</v>
      </c>
    </row>
    <row r="43" spans="1:6" s="37" customFormat="1" ht="15">
      <c r="A43" s="36" t="s">
        <v>43</v>
      </c>
      <c r="B43" s="25">
        <v>51249.062</v>
      </c>
      <c r="C43" s="25">
        <v>30319.718</v>
      </c>
      <c r="D43" s="25">
        <f>23572.673+254.195</f>
        <v>23826.868</v>
      </c>
      <c r="E43" s="20">
        <f t="shared" si="0"/>
        <v>46.49230067859583</v>
      </c>
      <c r="F43" s="20">
        <f t="shared" si="1"/>
        <v>78.58538789839668</v>
      </c>
    </row>
    <row r="44" spans="1:6" s="37" customFormat="1" ht="15">
      <c r="A44" s="38" t="s">
        <v>35</v>
      </c>
      <c r="B44" s="11">
        <v>24685.189</v>
      </c>
      <c r="C44" s="11">
        <v>14236.144</v>
      </c>
      <c r="D44" s="11">
        <f>11288.924+119.859</f>
        <v>11408.783000000001</v>
      </c>
      <c r="E44" s="20">
        <f t="shared" si="0"/>
        <v>46.21711828902749</v>
      </c>
      <c r="F44" s="20">
        <f>SUM(D44)/C44*100</f>
        <v>80.13955885807282</v>
      </c>
    </row>
    <row r="45" spans="1:6" s="37" customFormat="1" ht="15">
      <c r="A45" s="38" t="s">
        <v>36</v>
      </c>
      <c r="B45" s="11">
        <v>5430.741</v>
      </c>
      <c r="C45" s="11">
        <v>3134.124</v>
      </c>
      <c r="D45" s="11">
        <f>2477.212+26.369</f>
        <v>2503.581</v>
      </c>
      <c r="E45" s="20">
        <f t="shared" si="0"/>
        <v>46.10017307030477</v>
      </c>
      <c r="F45" s="20">
        <f t="shared" si="1"/>
        <v>79.88136397921717</v>
      </c>
    </row>
    <row r="46" spans="1:6" s="37" customFormat="1" ht="30">
      <c r="A46" s="38" t="s">
        <v>39</v>
      </c>
      <c r="B46" s="11">
        <v>4194.121</v>
      </c>
      <c r="C46" s="11">
        <v>2053.436</v>
      </c>
      <c r="D46" s="11">
        <v>1807.096</v>
      </c>
      <c r="E46" s="20">
        <f t="shared" si="0"/>
        <v>43.08640594775401</v>
      </c>
      <c r="F46" s="20">
        <f t="shared" si="1"/>
        <v>88.00352190182697</v>
      </c>
    </row>
    <row r="47" spans="1:6" s="37" customFormat="1" ht="15">
      <c r="A47" s="38" t="s">
        <v>40</v>
      </c>
      <c r="B47" s="11">
        <f>SUM(B43)-B44-B45-B46</f>
        <v>16939.011</v>
      </c>
      <c r="C47" s="11">
        <f>SUM(C43)-C44-C45-C46</f>
        <v>10896.014000000001</v>
      </c>
      <c r="D47" s="11">
        <f>SUM(D43)-D44-D45-D46</f>
        <v>8107.407999999998</v>
      </c>
      <c r="E47" s="20">
        <f t="shared" si="0"/>
        <v>47.862345682401404</v>
      </c>
      <c r="F47" s="20">
        <f t="shared" si="1"/>
        <v>74.407099697192</v>
      </c>
    </row>
    <row r="48" spans="1:6" s="37" customFormat="1" ht="15">
      <c r="A48" s="36" t="s">
        <v>41</v>
      </c>
      <c r="B48" s="25">
        <v>3632.693</v>
      </c>
      <c r="C48" s="25">
        <f>1758.148+1820.545+54</f>
        <v>3632.693</v>
      </c>
      <c r="D48" s="25">
        <v>1131.47</v>
      </c>
      <c r="E48" s="20">
        <f t="shared" si="0"/>
        <v>31.146865424631258</v>
      </c>
      <c r="F48" s="20">
        <f t="shared" si="1"/>
        <v>31.146865424631258</v>
      </c>
    </row>
    <row r="49" spans="1:6" s="37" customFormat="1" ht="14.25">
      <c r="A49" s="34" t="s">
        <v>45</v>
      </c>
      <c r="B49" s="18">
        <f>B50+B55</f>
        <v>90568.01</v>
      </c>
      <c r="C49" s="18">
        <f>C50+C55</f>
        <v>51641.748</v>
      </c>
      <c r="D49" s="18">
        <f>D50+D55</f>
        <v>38571.506</v>
      </c>
      <c r="E49" s="19">
        <f t="shared" si="0"/>
        <v>42.58844375624462</v>
      </c>
      <c r="F49" s="19">
        <f t="shared" si="1"/>
        <v>74.69055075362671</v>
      </c>
    </row>
    <row r="50" spans="1:6" s="37" customFormat="1" ht="15">
      <c r="A50" s="36" t="s">
        <v>43</v>
      </c>
      <c r="B50" s="25">
        <v>82568.01</v>
      </c>
      <c r="C50" s="25">
        <v>46830.748</v>
      </c>
      <c r="D50" s="25">
        <v>37677.33</v>
      </c>
      <c r="E50" s="20">
        <f t="shared" si="0"/>
        <v>45.631873651793235</v>
      </c>
      <c r="F50" s="20">
        <f t="shared" si="1"/>
        <v>80.45425625061552</v>
      </c>
    </row>
    <row r="51" spans="1:6" s="37" customFormat="1" ht="15">
      <c r="A51" s="38" t="s">
        <v>35</v>
      </c>
      <c r="B51" s="11">
        <v>50916.2</v>
      </c>
      <c r="C51" s="11">
        <v>28900.481</v>
      </c>
      <c r="D51" s="11">
        <v>23928.603</v>
      </c>
      <c r="E51" s="20">
        <f t="shared" si="0"/>
        <v>46.996050372965776</v>
      </c>
      <c r="F51" s="20">
        <f>SUM(D51)/C51*100</f>
        <v>82.79655622340681</v>
      </c>
    </row>
    <row r="52" spans="1:6" s="37" customFormat="1" ht="15">
      <c r="A52" s="38" t="s">
        <v>36</v>
      </c>
      <c r="B52" s="11">
        <v>11270.743</v>
      </c>
      <c r="C52" s="11">
        <v>6394.19</v>
      </c>
      <c r="D52" s="11">
        <v>5245.461</v>
      </c>
      <c r="E52" s="20">
        <f t="shared" si="0"/>
        <v>46.540507577894374</v>
      </c>
      <c r="F52" s="20">
        <f t="shared" si="1"/>
        <v>82.03480034218565</v>
      </c>
    </row>
    <row r="53" spans="1:6" s="37" customFormat="1" ht="30">
      <c r="A53" s="38" t="s">
        <v>39</v>
      </c>
      <c r="B53" s="11">
        <v>4798.274</v>
      </c>
      <c r="C53" s="11">
        <v>2310.269</v>
      </c>
      <c r="D53" s="11">
        <v>2168.283</v>
      </c>
      <c r="E53" s="20">
        <f t="shared" si="0"/>
        <v>45.18881164352015</v>
      </c>
      <c r="F53" s="20">
        <f t="shared" si="1"/>
        <v>93.85413560065949</v>
      </c>
    </row>
    <row r="54" spans="1:6" s="37" customFormat="1" ht="15">
      <c r="A54" s="38" t="s">
        <v>40</v>
      </c>
      <c r="B54" s="11">
        <f>SUM(B50)-B51-B52-B53</f>
        <v>15582.792999999994</v>
      </c>
      <c r="C54" s="11">
        <f>SUM(C50)-C51-C52-C53</f>
        <v>9225.808</v>
      </c>
      <c r="D54" s="11">
        <f>SUM(D50)-D51-D52-D53</f>
        <v>6334.983000000004</v>
      </c>
      <c r="E54" s="20">
        <f t="shared" si="0"/>
        <v>40.65370694457666</v>
      </c>
      <c r="F54" s="20">
        <f t="shared" si="1"/>
        <v>68.66588812600483</v>
      </c>
    </row>
    <row r="55" spans="1:6" s="37" customFormat="1" ht="15">
      <c r="A55" s="36" t="s">
        <v>41</v>
      </c>
      <c r="B55" s="25">
        <v>8000</v>
      </c>
      <c r="C55" s="25">
        <f>1884.933+1247.767+1678.3</f>
        <v>4811</v>
      </c>
      <c r="D55" s="25">
        <v>894.176</v>
      </c>
      <c r="E55" s="20">
        <f t="shared" si="0"/>
        <v>11.177200000000001</v>
      </c>
      <c r="F55" s="20">
        <f t="shared" si="1"/>
        <v>18.586073581376013</v>
      </c>
    </row>
    <row r="56" spans="1:6" s="37" customFormat="1" ht="28.5">
      <c r="A56" s="21" t="s">
        <v>46</v>
      </c>
      <c r="B56" s="22">
        <f>B57+B60</f>
        <v>306187.88399999996</v>
      </c>
      <c r="C56" s="22">
        <f>C57+C60</f>
        <v>172918.992</v>
      </c>
      <c r="D56" s="22">
        <f>D57+D60</f>
        <v>74249.577</v>
      </c>
      <c r="E56" s="19">
        <f t="shared" si="0"/>
        <v>24.24967834455527</v>
      </c>
      <c r="F56" s="19">
        <f t="shared" si="1"/>
        <v>42.93893697923014</v>
      </c>
    </row>
    <row r="57" spans="1:6" s="37" customFormat="1" ht="15">
      <c r="A57" s="36" t="s">
        <v>43</v>
      </c>
      <c r="B57" s="25">
        <v>179378.042</v>
      </c>
      <c r="C57" s="25">
        <v>101686.29</v>
      </c>
      <c r="D57" s="25">
        <f>60008.976+543.817</f>
        <v>60552.793000000005</v>
      </c>
      <c r="E57" s="20">
        <f t="shared" si="0"/>
        <v>33.75708215167161</v>
      </c>
      <c r="F57" s="20">
        <f t="shared" si="1"/>
        <v>59.548630400420755</v>
      </c>
    </row>
    <row r="58" spans="1:6" s="37" customFormat="1" ht="30">
      <c r="A58" s="38" t="s">
        <v>39</v>
      </c>
      <c r="B58" s="11">
        <v>20033.7</v>
      </c>
      <c r="C58" s="11">
        <v>12225.407</v>
      </c>
      <c r="D58" s="11">
        <v>10626.753</v>
      </c>
      <c r="E58" s="20">
        <f t="shared" si="0"/>
        <v>53.0443852109196</v>
      </c>
      <c r="F58" s="20">
        <f>SUM(D58)/C58*100</f>
        <v>86.9235110127622</v>
      </c>
    </row>
    <row r="59" spans="1:6" s="37" customFormat="1" ht="15">
      <c r="A59" s="38" t="s">
        <v>40</v>
      </c>
      <c r="B59" s="11">
        <f>SUM(B57)-B58</f>
        <v>159344.34199999998</v>
      </c>
      <c r="C59" s="11">
        <f>SUM(C57)-C58</f>
        <v>89460.883</v>
      </c>
      <c r="D59" s="11">
        <f>SUM(D57)-D58</f>
        <v>49926.04000000001</v>
      </c>
      <c r="E59" s="20">
        <f t="shared" si="0"/>
        <v>31.33216992417592</v>
      </c>
      <c r="F59" s="20">
        <f t="shared" si="1"/>
        <v>55.80767630026635</v>
      </c>
    </row>
    <row r="60" spans="1:6" s="37" customFormat="1" ht="15">
      <c r="A60" s="36" t="s">
        <v>41</v>
      </c>
      <c r="B60" s="25">
        <f>2465+124344.842</f>
        <v>126809.842</v>
      </c>
      <c r="C60" s="25">
        <f>2465+850+35+8938.286+6459.516+52484.9</f>
        <v>71232.702</v>
      </c>
      <c r="D60" s="25">
        <v>13696.784</v>
      </c>
      <c r="E60" s="20">
        <f t="shared" si="0"/>
        <v>10.801041767720205</v>
      </c>
      <c r="F60" s="20">
        <f t="shared" si="1"/>
        <v>19.22822469938035</v>
      </c>
    </row>
    <row r="61" spans="1:6" s="37" customFormat="1" ht="15">
      <c r="A61" s="21" t="s">
        <v>47</v>
      </c>
      <c r="B61" s="22">
        <f>SUM(B62)</f>
        <v>97322.069</v>
      </c>
      <c r="C61" s="22">
        <f>SUM(C62)</f>
        <v>60633.267</v>
      </c>
      <c r="D61" s="22">
        <f>SUM(D62)</f>
        <v>7737.814</v>
      </c>
      <c r="E61" s="20">
        <f t="shared" si="0"/>
        <v>7.9507290376245505</v>
      </c>
      <c r="F61" s="20">
        <f t="shared" si="1"/>
        <v>12.761664318698182</v>
      </c>
    </row>
    <row r="62" spans="1:6" s="37" customFormat="1" ht="15">
      <c r="A62" s="36" t="s">
        <v>41</v>
      </c>
      <c r="B62" s="25">
        <v>97322.069</v>
      </c>
      <c r="C62" s="25">
        <f>6846.272+9584.563+44202.432</f>
        <v>60633.267</v>
      </c>
      <c r="D62" s="25">
        <v>7737.814</v>
      </c>
      <c r="E62" s="20">
        <f t="shared" si="0"/>
        <v>7.9507290376245505</v>
      </c>
      <c r="F62" s="20">
        <f t="shared" si="1"/>
        <v>12.761664318698182</v>
      </c>
    </row>
    <row r="63" spans="1:6" s="37" customFormat="1" ht="15">
      <c r="A63" s="40" t="s">
        <v>48</v>
      </c>
      <c r="B63" s="22">
        <f>SUM(B64:B65)</f>
        <v>192940.72999999998</v>
      </c>
      <c r="C63" s="22">
        <f>SUM(C64:C65)</f>
        <v>119901.891</v>
      </c>
      <c r="D63" s="22">
        <f>1832.812+718.781</f>
        <v>2551.593</v>
      </c>
      <c r="E63" s="19">
        <f t="shared" si="0"/>
        <v>1.3224750419468196</v>
      </c>
      <c r="F63" s="19">
        <f t="shared" si="1"/>
        <v>2.128067354667492</v>
      </c>
    </row>
    <row r="64" spans="1:6" s="37" customFormat="1" ht="15">
      <c r="A64" s="36" t="s">
        <v>40</v>
      </c>
      <c r="B64" s="25">
        <v>82070.117</v>
      </c>
      <c r="C64" s="25">
        <v>56431.992</v>
      </c>
      <c r="D64" s="25">
        <v>41411.298</v>
      </c>
      <c r="E64" s="20">
        <f t="shared" si="0"/>
        <v>50.458436656060826</v>
      </c>
      <c r="F64" s="20">
        <f t="shared" si="1"/>
        <v>73.38266208997194</v>
      </c>
    </row>
    <row r="65" spans="1:6" s="37" customFormat="1" ht="15">
      <c r="A65" s="36" t="s">
        <v>41</v>
      </c>
      <c r="B65" s="25">
        <v>110870.613</v>
      </c>
      <c r="C65" s="25">
        <f>12769.899+15500+35200</f>
        <v>63469.899</v>
      </c>
      <c r="D65" s="25">
        <v>17871.794</v>
      </c>
      <c r="E65" s="20">
        <f t="shared" si="0"/>
        <v>16.119504994529073</v>
      </c>
      <c r="F65" s="20">
        <f t="shared" si="1"/>
        <v>28.157905214249674</v>
      </c>
    </row>
    <row r="66" spans="1:6" s="37" customFormat="1" ht="57">
      <c r="A66" s="41" t="s">
        <v>49</v>
      </c>
      <c r="B66" s="22">
        <f>SUM(B67:B67)</f>
        <v>6900</v>
      </c>
      <c r="C66" s="22">
        <f>SUM(C67:C67)</f>
        <v>2800</v>
      </c>
      <c r="D66" s="22">
        <f>SUM(D67:D67)</f>
        <v>1112.871</v>
      </c>
      <c r="E66" s="19">
        <f t="shared" si="0"/>
        <v>16.128565217391305</v>
      </c>
      <c r="F66" s="19">
        <f t="shared" si="1"/>
        <v>39.74539285714286</v>
      </c>
    </row>
    <row r="67" spans="1:6" s="37" customFormat="1" ht="15">
      <c r="A67" s="36" t="s">
        <v>41</v>
      </c>
      <c r="B67" s="25">
        <v>6900</v>
      </c>
      <c r="C67" s="25">
        <f>300+813+1687</f>
        <v>2800</v>
      </c>
      <c r="D67" s="25">
        <v>1112.871</v>
      </c>
      <c r="E67" s="20">
        <f t="shared" si="0"/>
        <v>16.128565217391305</v>
      </c>
      <c r="F67" s="20">
        <f t="shared" si="1"/>
        <v>39.74539285714286</v>
      </c>
    </row>
    <row r="68" spans="1:6" s="37" customFormat="1" ht="39.75" customHeight="1">
      <c r="A68" s="40" t="s">
        <v>50</v>
      </c>
      <c r="B68" s="18">
        <f>SUM(B69)+B72</f>
        <v>9526</v>
      </c>
      <c r="C68" s="18">
        <f>SUM(C69)+C72</f>
        <v>5224.529</v>
      </c>
      <c r="D68" s="18">
        <f>SUM(D69)+D72</f>
        <v>3051.844</v>
      </c>
      <c r="E68" s="19">
        <f t="shared" si="0"/>
        <v>32.03699349149696</v>
      </c>
      <c r="F68" s="19">
        <f t="shared" si="1"/>
        <v>58.41376323109701</v>
      </c>
    </row>
    <row r="69" spans="1:6" s="37" customFormat="1" ht="15">
      <c r="A69" s="36" t="s">
        <v>43</v>
      </c>
      <c r="B69" s="25">
        <v>8800.034</v>
      </c>
      <c r="C69" s="25">
        <v>5224.529</v>
      </c>
      <c r="D69" s="25">
        <v>3051.844</v>
      </c>
      <c r="E69" s="20">
        <f aca="true" t="shared" si="2" ref="E69:E76">SUM(D69)/B69*100</f>
        <v>34.679911463978435</v>
      </c>
      <c r="F69" s="20">
        <f t="shared" si="1"/>
        <v>58.41376323109701</v>
      </c>
    </row>
    <row r="70" spans="1:6" s="37" customFormat="1" ht="30">
      <c r="A70" s="38" t="s">
        <v>39</v>
      </c>
      <c r="B70" s="11">
        <v>14.956</v>
      </c>
      <c r="C70" s="11">
        <v>12.1</v>
      </c>
      <c r="D70" s="11">
        <v>1.424</v>
      </c>
      <c r="E70" s="20">
        <f t="shared" si="2"/>
        <v>9.521262369617546</v>
      </c>
      <c r="F70" s="20">
        <f t="shared" si="1"/>
        <v>11.768595041322314</v>
      </c>
    </row>
    <row r="71" spans="1:6" s="37" customFormat="1" ht="15">
      <c r="A71" s="38" t="s">
        <v>40</v>
      </c>
      <c r="B71" s="11">
        <f>SUM(B69)-B70</f>
        <v>8785.078</v>
      </c>
      <c r="C71" s="11">
        <f>SUM(C69)-C70</f>
        <v>5212.429</v>
      </c>
      <c r="D71" s="11">
        <f>SUM(D69)-D70</f>
        <v>3050.42</v>
      </c>
      <c r="E71" s="19">
        <f t="shared" si="2"/>
        <v>34.72274235925965</v>
      </c>
      <c r="F71" s="19">
        <f t="shared" si="1"/>
        <v>58.52204413719592</v>
      </c>
    </row>
    <row r="72" spans="1:6" s="37" customFormat="1" ht="15">
      <c r="A72" s="36" t="s">
        <v>41</v>
      </c>
      <c r="B72" s="25">
        <v>725.966</v>
      </c>
      <c r="C72" s="25"/>
      <c r="D72" s="25"/>
      <c r="E72" s="20">
        <f t="shared" si="2"/>
        <v>0</v>
      </c>
      <c r="F72" s="20" t="e">
        <f>SUM(D72)/C72*100</f>
        <v>#DIV/0!</v>
      </c>
    </row>
    <row r="73" spans="1:6" s="37" customFormat="1" ht="15">
      <c r="A73" s="40" t="s">
        <v>51</v>
      </c>
      <c r="B73" s="18">
        <v>1670</v>
      </c>
      <c r="C73" s="18">
        <v>20</v>
      </c>
      <c r="D73" s="18"/>
      <c r="E73" s="20">
        <f t="shared" si="2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22054.1</v>
      </c>
      <c r="D74" s="18">
        <v>19953.767</v>
      </c>
      <c r="E74" s="20">
        <f t="shared" si="2"/>
        <v>52.77852808768839</v>
      </c>
      <c r="F74" s="20">
        <f aca="true" t="shared" si="3" ref="F74:F90">SUM(D74)/C74*100</f>
        <v>90.4764510907269</v>
      </c>
    </row>
    <row r="75" spans="1:6" s="35" customFormat="1" ht="15">
      <c r="A75" s="34" t="s">
        <v>53</v>
      </c>
      <c r="B75" s="18">
        <f>SUM(B76)+B80</f>
        <v>16607.913</v>
      </c>
      <c r="C75" s="18">
        <f>SUM(C76)+C80</f>
        <v>11781.663</v>
      </c>
      <c r="D75" s="18">
        <f>SUM(D76)+D80</f>
        <v>1480.3839999999998</v>
      </c>
      <c r="E75" s="20">
        <f t="shared" si="2"/>
        <v>8.91372684815967</v>
      </c>
      <c r="F75" s="20">
        <f t="shared" si="3"/>
        <v>12.565153153676182</v>
      </c>
    </row>
    <row r="76" spans="1:6" s="35" customFormat="1" ht="15">
      <c r="A76" s="36" t="s">
        <v>43</v>
      </c>
      <c r="B76" s="25">
        <f>11077.904+196.033</f>
        <v>11273.937</v>
      </c>
      <c r="C76" s="25">
        <f>8484.475+523.002</f>
        <v>9007.477</v>
      </c>
      <c r="D76" s="25">
        <f>1019.382+395.269+65.733</f>
        <v>1480.3839999999998</v>
      </c>
      <c r="E76" s="19">
        <f t="shared" si="2"/>
        <v>13.131029559593955</v>
      </c>
      <c r="F76" s="20">
        <f t="shared" si="3"/>
        <v>16.435057230787265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11273.937</v>
      </c>
      <c r="C79" s="11">
        <f>SUM(C76)-C77-C78</f>
        <v>9007.477</v>
      </c>
      <c r="D79" s="11">
        <f>SUM(D76)-D77-D78</f>
        <v>1480.3839999999998</v>
      </c>
      <c r="E79" s="20">
        <f aca="true" t="shared" si="4" ref="E79:E90">SUM(D79)/B79*100</f>
        <v>13.131029559593955</v>
      </c>
      <c r="F79" s="20">
        <f>SUM(D79)/C79*100</f>
        <v>16.435057230787265</v>
      </c>
    </row>
    <row r="80" spans="1:6" s="37" customFormat="1" ht="15">
      <c r="A80" s="36" t="s">
        <v>41</v>
      </c>
      <c r="B80" s="25">
        <v>5333.976</v>
      </c>
      <c r="C80" s="25">
        <f>2454.186+320</f>
        <v>2774.186</v>
      </c>
      <c r="D80" s="25"/>
      <c r="E80" s="20">
        <f t="shared" si="4"/>
        <v>0</v>
      </c>
      <c r="F80" s="20">
        <f t="shared" si="3"/>
        <v>0</v>
      </c>
    </row>
    <row r="81" spans="1:6" s="37" customFormat="1" ht="40.5">
      <c r="A81" s="42" t="s">
        <v>54</v>
      </c>
      <c r="B81" s="18">
        <f>15000+775.5-705.5</f>
        <v>15070</v>
      </c>
      <c r="C81" s="18">
        <f>15000+42.1</f>
        <v>15042.1</v>
      </c>
      <c r="D81" s="18">
        <v>8000</v>
      </c>
      <c r="E81" s="20">
        <f t="shared" si="4"/>
        <v>53.085600530856006</v>
      </c>
      <c r="F81" s="20">
        <f t="shared" si="3"/>
        <v>53.18406339540357</v>
      </c>
    </row>
    <row r="82" spans="1:11" s="46" customFormat="1" ht="15.75">
      <c r="A82" s="43" t="s">
        <v>55</v>
      </c>
      <c r="B82" s="28">
        <f>B5+B14+B23+B35+B42+B49+B56+B61+B63+B66+B68+B73+B74+B75+B81</f>
        <v>2750657.602</v>
      </c>
      <c r="C82" s="28">
        <f>C5+C14+C23+C35+C42+C49+C56+C61+C63+C66+C68+C73+C74+C75+C81</f>
        <v>1705220.7990000003</v>
      </c>
      <c r="D82" s="28">
        <f>D5+D14+D23+D35+D42+D49+D56+D61+D63+D66+D68+D73+D74+D75+D81</f>
        <v>1216222.9640000004</v>
      </c>
      <c r="E82" s="20">
        <f t="shared" si="4"/>
        <v>44.215716384172495</v>
      </c>
      <c r="F82" s="20">
        <f t="shared" si="3"/>
        <v>71.32348870675487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2308209.08</v>
      </c>
      <c r="C83" s="28">
        <f>C6+C15+C24+C36+C43+C50+C57+C64+C69+C76+C74</f>
        <v>1436090.9360000005</v>
      </c>
      <c r="D83" s="28">
        <f>D6+D15+D24+D36+D43+D50+D57+D64+D69+D76+D74</f>
        <v>1208342.28</v>
      </c>
      <c r="E83" s="20">
        <f t="shared" si="4"/>
        <v>52.34977587039039</v>
      </c>
      <c r="F83" s="20">
        <f t="shared" si="3"/>
        <v>84.14107001925953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5" ref="B84:D85">B7+B16+B25+B37+B44+B51+B77</f>
        <v>756478.678</v>
      </c>
      <c r="C84" s="22">
        <f t="shared" si="5"/>
        <v>458465.1020000001</v>
      </c>
      <c r="D84" s="22">
        <f t="shared" si="5"/>
        <v>405502.68200000003</v>
      </c>
      <c r="E84" s="19">
        <f t="shared" si="4"/>
        <v>53.60398036228591</v>
      </c>
      <c r="F84" s="19">
        <f t="shared" si="3"/>
        <v>88.44788408780565</v>
      </c>
    </row>
    <row r="85" spans="1:6" ht="15">
      <c r="A85" s="47" t="s">
        <v>36</v>
      </c>
      <c r="B85" s="22">
        <f t="shared" si="5"/>
        <v>166259.443</v>
      </c>
      <c r="C85" s="22">
        <f t="shared" si="5"/>
        <v>101124.344</v>
      </c>
      <c r="D85" s="22">
        <f t="shared" si="5"/>
        <v>89286.21100000001</v>
      </c>
      <c r="E85" s="19">
        <f t="shared" si="4"/>
        <v>53.702941251884276</v>
      </c>
      <c r="F85" s="19">
        <f t="shared" si="3"/>
        <v>88.2934884601081</v>
      </c>
    </row>
    <row r="86" spans="1:6" ht="15">
      <c r="A86" s="47" t="s">
        <v>56</v>
      </c>
      <c r="B86" s="22">
        <f>B70+B11+B20+B29+B39+B46+B53+B58</f>
        <v>165680.90200000006</v>
      </c>
      <c r="C86" s="22">
        <f>C70+C11+C20+C29+C39+C46+C53+C58</f>
        <v>105131.86300000001</v>
      </c>
      <c r="D86" s="22">
        <f>D70+D11+D20+D29+D39+D46+D53+D58</f>
        <v>78435.361</v>
      </c>
      <c r="E86" s="19">
        <f t="shared" si="4"/>
        <v>47.341220414166976</v>
      </c>
      <c r="F86" s="19">
        <f>SUM(D86)/C86*100</f>
        <v>74.60664993637562</v>
      </c>
    </row>
    <row r="87" spans="1:6" ht="15">
      <c r="A87" s="47" t="s">
        <v>40</v>
      </c>
      <c r="B87" s="22">
        <f>B83-B84-B85-B86</f>
        <v>1219790.0570000003</v>
      </c>
      <c r="C87" s="22">
        <f>C83-C84-C85-C86</f>
        <v>771369.6270000003</v>
      </c>
      <c r="D87" s="22">
        <f>D83-D84-D85-D86</f>
        <v>635118.026</v>
      </c>
      <c r="E87" s="19">
        <f t="shared" si="4"/>
        <v>52.06781465017302</v>
      </c>
      <c r="F87" s="19">
        <f t="shared" si="3"/>
        <v>82.33640576050315</v>
      </c>
    </row>
    <row r="88" spans="1:6" ht="15">
      <c r="A88" s="34" t="s">
        <v>41</v>
      </c>
      <c r="B88" s="18">
        <f>B13+B22+B41+B34+B55+B60+B62+B65+B67+B72+B80+B48</f>
        <v>425708.5220000001</v>
      </c>
      <c r="C88" s="18">
        <f>C13+C22+C41+C34+C55+C60+C62+C65+C67+C72+C80+C48</f>
        <v>254067.76299999998</v>
      </c>
      <c r="D88" s="18">
        <f>D13+D22+D41+D34+D55+D60+D62+D65+D67+D72+D80+D48</f>
        <v>56612.183</v>
      </c>
      <c r="E88" s="19">
        <f t="shared" si="4"/>
        <v>13.298343837241761</v>
      </c>
      <c r="F88" s="19">
        <f t="shared" si="3"/>
        <v>22.282316470035596</v>
      </c>
    </row>
    <row r="89" spans="1:6" ht="15">
      <c r="A89" s="34" t="s">
        <v>57</v>
      </c>
      <c r="B89" s="18">
        <f>SUM(B81)</f>
        <v>15070</v>
      </c>
      <c r="C89" s="18">
        <f>SUM(C81)</f>
        <v>15042.1</v>
      </c>
      <c r="D89" s="18">
        <f>SUM(D81)</f>
        <v>8000</v>
      </c>
      <c r="E89" s="19">
        <f t="shared" si="4"/>
        <v>53.085600530856006</v>
      </c>
      <c r="F89" s="19">
        <f t="shared" si="3"/>
        <v>53.18406339540357</v>
      </c>
    </row>
    <row r="90" spans="1:6" ht="28.5">
      <c r="A90" s="34" t="s">
        <v>58</v>
      </c>
      <c r="B90" s="18">
        <f>SUM(B73)</f>
        <v>1670</v>
      </c>
      <c r="C90" s="18">
        <f>SUM(C73)</f>
        <v>20</v>
      </c>
      <c r="D90" s="18"/>
      <c r="E90" s="19">
        <f t="shared" si="4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2016-07-12T07:20:14Z</cp:lastPrinted>
  <dcterms:created xsi:type="dcterms:W3CDTF">2015-04-07T07:35:57Z</dcterms:created>
  <dcterms:modified xsi:type="dcterms:W3CDTF">2016-07-12T07:21:48Z</dcterms:modified>
  <cp:category/>
  <cp:version/>
  <cp:contentType/>
  <cp:contentStatus/>
</cp:coreProperties>
</file>